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lnb74a2jg9VbqBKY25MWSeoQNxatC26XNUFE3k9GHjerqPLhiAOkpH9WNdPZE9obhkyQdAx8xigmM5lweUyhA==" workbookSaltValue="sFRWzLBo+gQ/rvpynLQA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E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R20" i="8"/>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J21" i="26"/>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I18" i="12" l="1"/>
  <c r="K18" i="12"/>
  <c r="BM20" i="26"/>
  <c r="Z20" i="17"/>
  <c r="BL21" i="26"/>
  <c r="K12" i="12"/>
  <c r="AP19" i="20"/>
  <c r="X11" i="17"/>
  <c r="X15" i="16"/>
  <c r="X19" i="16" s="1"/>
  <c r="BM17" i="11"/>
  <c r="S18" i="16"/>
  <c r="S16" i="16"/>
  <c r="AP16" i="27"/>
  <c r="BU16" i="17"/>
  <c r="Q16" i="17"/>
  <c r="BV16" i="26"/>
  <c r="BH16" i="26"/>
  <c r="T16" i="26"/>
  <c r="BM16" i="11"/>
  <c r="BI16" i="11"/>
  <c r="AP16" i="20"/>
  <c r="BV16" i="16"/>
  <c r="BH16" i="16"/>
  <c r="T16" i="16"/>
  <c r="BW16" i="27"/>
  <c r="P16" i="17"/>
  <c r="S16" i="26"/>
  <c r="BL16" i="11"/>
  <c r="BJ16" i="11"/>
  <c r="BH16" i="11"/>
  <c r="BF16" i="11"/>
  <c r="BK16" i="11"/>
  <c r="BG16" i="11"/>
  <c r="V16" i="11"/>
  <c r="L16" i="2"/>
  <c r="AA16" i="26"/>
  <c r="X16" i="17"/>
  <c r="S16" i="14"/>
  <c r="V16" i="14" s="1"/>
  <c r="T16" i="11"/>
  <c r="V16" i="26"/>
  <c r="S16" i="17"/>
  <c r="X16" i="16"/>
  <c r="AZ16" i="11"/>
  <c r="X16" i="26"/>
  <c r="V16" i="27"/>
  <c r="AA16" i="16"/>
  <c r="AO16" i="17"/>
  <c r="AM16" i="11"/>
  <c r="R16" i="14"/>
  <c r="V16" i="20"/>
  <c r="U16" i="17"/>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BV22" i="26" s="1"/>
  <c r="Q16" i="11"/>
  <c r="P16" i="11"/>
  <c r="X20" i="26"/>
  <c r="X13" i="26"/>
  <c r="BV13" i="26"/>
  <c r="BV20"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Q21" i="17"/>
  <c r="D21" i="12"/>
  <c r="CL16" i="16" l="1"/>
  <c r="CL18" i="16"/>
  <c r="CL12" i="16"/>
  <c r="CK10" i="16"/>
  <c r="CK9" i="16"/>
  <c r="CL17" i="16"/>
  <c r="CL15" i="16"/>
  <c r="CL11" i="16"/>
  <c r="CK16" i="16"/>
  <c r="CL10" i="16"/>
  <c r="CK18" i="16"/>
  <c r="CK12" i="16"/>
  <c r="CK15" i="16"/>
  <c r="CK11" i="16"/>
  <c r="CK17" i="16"/>
  <c r="CL9" i="16"/>
  <c r="CU16" i="16"/>
  <c r="CU15" i="16"/>
  <c r="CV15" i="16"/>
  <c r="CU17" i="16"/>
  <c r="CU11" i="16"/>
  <c r="CU9" i="16"/>
  <c r="CV10" i="16"/>
  <c r="CV9" i="16"/>
  <c r="CV16" i="16"/>
  <c r="CV18" i="16"/>
  <c r="CV12" i="16"/>
  <c r="CU12" i="16"/>
  <c r="CV17" i="16"/>
  <c r="CU18" i="16"/>
  <c r="CV11" i="16"/>
  <c r="CU10" i="16"/>
  <c r="CH16" i="16"/>
  <c r="CI9" i="16"/>
  <c r="CH12" i="16"/>
  <c r="CH15" i="16"/>
  <c r="CH10" i="16"/>
  <c r="CH18" i="16"/>
  <c r="CI15" i="16"/>
  <c r="CI16" i="16"/>
  <c r="CI18" i="16"/>
  <c r="CI11" i="16"/>
  <c r="CI17" i="16"/>
  <c r="CI10" i="16"/>
  <c r="CH11" i="16"/>
  <c r="CH17" i="16"/>
  <c r="CI12" i="16"/>
  <c r="CH9" i="16"/>
  <c r="AT21" i="21"/>
  <c r="CO16" i="16"/>
  <c r="CN18" i="16"/>
  <c r="CO12" i="16"/>
  <c r="CN11" i="16"/>
  <c r="CN9" i="16"/>
  <c r="CO18" i="16"/>
  <c r="CO11" i="16"/>
  <c r="CO9" i="16"/>
  <c r="CN17" i="16"/>
  <c r="CN12" i="16"/>
  <c r="CN15" i="16"/>
  <c r="CN10" i="16"/>
  <c r="CN16" i="16"/>
  <c r="CO15" i="16"/>
  <c r="CO10" i="16"/>
  <c r="CO17" i="16"/>
  <c r="ER16" i="16"/>
  <c r="EQ16" i="16"/>
  <c r="EQ12" i="16"/>
  <c r="ER12" i="16"/>
  <c r="EQ9" i="16"/>
  <c r="EQ18" i="16"/>
  <c r="EQ10" i="16"/>
  <c r="EQ11" i="16"/>
  <c r="ER11" i="16"/>
  <c r="EQ15" i="16"/>
  <c r="ER9" i="16"/>
  <c r="EQ17" i="16"/>
  <c r="ER17" i="16"/>
  <c r="ER15" i="16"/>
  <c r="ER10" i="16"/>
  <c r="ER18" i="16"/>
  <c r="BZ16" i="16"/>
  <c r="BY16" i="16"/>
  <c r="BY9" i="16"/>
  <c r="BY18" i="16"/>
  <c r="BY15" i="16"/>
  <c r="BZ9" i="16"/>
  <c r="BZ11" i="16"/>
  <c r="BZ15" i="16"/>
  <c r="BZ17" i="16"/>
  <c r="BY12" i="16"/>
  <c r="BL21" i="16"/>
  <c r="BY10" i="16"/>
  <c r="BZ18" i="16"/>
  <c r="BY11" i="16"/>
  <c r="BY17" i="16"/>
  <c r="BZ10" i="16"/>
  <c r="BZ12" i="16"/>
  <c r="CZ16" i="16"/>
  <c r="CZ18" i="16"/>
  <c r="CZ15" i="16"/>
  <c r="CZ9" i="16"/>
  <c r="CY17" i="16"/>
  <c r="CY18" i="16"/>
  <c r="CZ12" i="16"/>
  <c r="CY11" i="16"/>
  <c r="CY16" i="16"/>
  <c r="CZ11" i="16"/>
  <c r="CZ10" i="16"/>
  <c r="CY12" i="16"/>
  <c r="CZ17" i="16"/>
  <c r="CY15" i="16"/>
  <c r="CY9" i="16"/>
  <c r="CY10" i="16"/>
  <c r="DH16" i="16"/>
  <c r="DG10" i="16"/>
  <c r="DH18" i="16"/>
  <c r="DH12" i="16"/>
  <c r="DH9" i="16"/>
  <c r="DH17" i="16"/>
  <c r="DG18" i="16"/>
  <c r="DG11" i="16"/>
  <c r="DH15" i="16"/>
  <c r="DG9" i="16"/>
  <c r="DG15" i="16"/>
  <c r="DG16" i="16"/>
  <c r="DG17" i="16"/>
  <c r="DG12" i="16"/>
  <c r="DH11" i="16"/>
  <c r="DH10" i="16"/>
  <c r="AQ21" i="11"/>
  <c r="CF16" i="16"/>
  <c r="CF10" i="16"/>
  <c r="CE17" i="16"/>
  <c r="CE15" i="16"/>
  <c r="CF11" i="16"/>
  <c r="CE10" i="16"/>
  <c r="CE11" i="16"/>
  <c r="CF18" i="16"/>
  <c r="CE16" i="16"/>
  <c r="CE9" i="16"/>
  <c r="CF9" i="16"/>
  <c r="CF17" i="16"/>
  <c r="CE18" i="16"/>
  <c r="CF12" i="16"/>
  <c r="CF15" i="16"/>
  <c r="CE12" i="16"/>
  <c r="AQ21" i="17"/>
  <c r="CC16" i="16"/>
  <c r="CB15" i="16"/>
  <c r="CC12" i="16"/>
  <c r="CC15" i="16"/>
  <c r="CC9" i="16"/>
  <c r="CB9" i="16"/>
  <c r="CC17" i="16"/>
  <c r="CC11" i="16"/>
  <c r="CB16" i="16"/>
  <c r="CB17" i="16"/>
  <c r="CB10" i="16"/>
  <c r="CB11" i="16"/>
  <c r="CC18" i="16"/>
  <c r="CB18" i="16"/>
  <c r="CC10" i="16"/>
  <c r="CB12" i="16"/>
  <c r="DC16" i="16"/>
  <c r="DD18" i="16"/>
  <c r="DC17" i="16"/>
  <c r="DC12" i="16"/>
  <c r="DD17" i="16"/>
  <c r="DD12" i="16"/>
  <c r="DD10" i="16"/>
  <c r="DC9" i="16"/>
  <c r="DC18" i="16"/>
  <c r="DC11" i="16"/>
  <c r="DD11" i="16"/>
  <c r="DD9" i="16"/>
  <c r="DD16" i="16"/>
  <c r="DC15" i="16"/>
  <c r="DD15" i="16"/>
  <c r="DC10" i="16"/>
  <c r="CR16" i="16"/>
  <c r="CQ12" i="16"/>
  <c r="CQ10" i="16"/>
  <c r="CR15" i="16"/>
  <c r="CQ9" i="16"/>
  <c r="CQ11" i="16"/>
  <c r="CR10" i="16"/>
  <c r="CQ15" i="16"/>
  <c r="CQ16" i="16"/>
  <c r="CR18" i="16"/>
  <c r="CR12" i="16"/>
  <c r="CQ17" i="16"/>
  <c r="CR9" i="16"/>
  <c r="CR17" i="16"/>
  <c r="CR11" i="16"/>
  <c r="CQ18" i="16"/>
  <c r="EI16" i="16"/>
  <c r="EJ12" i="16"/>
  <c r="EJ10" i="16"/>
  <c r="EI10" i="16"/>
  <c r="EI11" i="16"/>
  <c r="EJ17" i="16"/>
  <c r="EJ18" i="16"/>
  <c r="EI15" i="16"/>
  <c r="EJ16" i="16"/>
  <c r="EI17" i="16"/>
  <c r="EI9" i="16"/>
  <c r="EJ11" i="16"/>
  <c r="EI18" i="16"/>
  <c r="EJ15" i="16"/>
  <c r="EJ9" i="16"/>
  <c r="EI12" i="16"/>
  <c r="EN10" i="16"/>
  <c r="EM18" i="16"/>
  <c r="EN11" i="16"/>
  <c r="EM11" i="16"/>
  <c r="EM9" i="16"/>
  <c r="EN12" i="16"/>
  <c r="EM17" i="16"/>
  <c r="EN16" i="16"/>
  <c r="EM16" i="16"/>
  <c r="EN18" i="16"/>
  <c r="EN17" i="16"/>
  <c r="EM12" i="16"/>
  <c r="EM10" i="16"/>
  <c r="EN15" i="16"/>
  <c r="EN9" i="16"/>
  <c r="EM15"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<sst xmlns="http://schemas.openxmlformats.org/spreadsheetml/2006/main" count="2513" uniqueCount="1025">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</sst>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8NbnOThJPm8fGesQ2jnbo31W+54Ub1CkydHkC4PqiJ2x/c0A40sXhRrxNX2kNiYK/8ms43GNUzuI8D/scOWJA==" saltValue="lpzXKGEe6hcURodo56Fne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24</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35.016919889502759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6</v>
      </c>
      <c r="B10" s="501" t="str">
        <f>Datos!A10</f>
        <v>Sección De Violencia sobre la Mujer del TI</v>
      </c>
      <c r="C10" s="224">
        <f t="shared" si="0"/>
        <v>372</v>
      </c>
      <c r="D10" s="224">
        <f>IF(ISNUMBER(Datos!I10),Datos!I10," - ")</f>
        <v>372</v>
      </c>
      <c r="E10" s="225">
        <f>IF(ISNUMBER(Datos!J10),Datos!J10," - ")</f>
        <v>200</v>
      </c>
      <c r="F10" s="225">
        <f>IF(ISNUMBER(Datos!K10),Datos!K10," - ")</f>
        <v>205</v>
      </c>
      <c r="G10" s="1029" t="str">
        <f>IF(Datos!E10&lt;&gt;"",Datos!E10,Datos!D10)</f>
        <v>37</v>
      </c>
      <c r="H10" s="226">
        <f>IF(ISNUMBER(Datos!L10),Datos!L10," - ")</f>
        <v>367</v>
      </c>
      <c r="I10" s="1039" t="str">
        <f>IF(ISNUMBER(Datos!AS10/Datos!BM10),Datos!AS10/Datos!BM10," - ")</f>
        <v xml:space="preserve"> - </v>
      </c>
      <c r="J10" s="1040">
        <f>IF(ISNUMBER(Datos!BY10/Datos!CN10),Datos!BY10/Datos!CN10," - ")</f>
        <v>0</v>
      </c>
      <c r="K10" s="229">
        <f t="shared" ref="K10:K12" si="1">IF(ISNUMBER((E10-F10)/C10),(E10-F10)/C10," - ")</f>
        <v>-1.3440860215053764E-2</v>
      </c>
      <c r="L10" s="1020">
        <f>IF(ISNUMBER(NºAsuntos!I10/NºAsuntos!G10),(NºAsuntos!I10/NºAsuntos!G10)*11," - ")</f>
        <v>19.692682926829267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7</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7.7945389435989254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372</v>
      </c>
      <c r="D13" s="1044">
        <f>SUBTOTAL(9,D9:D12)</f>
        <v>372</v>
      </c>
      <c r="E13" s="1045">
        <f>SUBTOTAL(9,E9:E12)</f>
        <v>200</v>
      </c>
      <c r="F13" s="1046">
        <f>SUBTOTAL(9,F9:F12)</f>
        <v>205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21</v>
      </c>
      <c r="B15" s="501" t="str">
        <f>Datos!A15</f>
        <v xml:space="preserve">Seccion Instruccion Del T.I.                   </v>
      </c>
      <c r="C15" s="224">
        <f t="shared" ref="C15:C18" si="2">IF(ISNUMBER(H15-E15+F15),H15-E15+F15," - ")</f>
        <v>13912</v>
      </c>
      <c r="D15" s="224">
        <f>IF(ISNUMBER(IF(D_I="SI",Datos!I15,Datos!I15+Datos!AC15)),IF(D_I="SI",Datos!I15,Datos!I15+Datos!AC15)," - ")</f>
        <v>13738</v>
      </c>
      <c r="E15" s="225">
        <f>IF(ISNUMBER(IF(D_I="SI",Datos!J15,Datos!J15+Datos!AD15)),IF(D_I="SI",Datos!J15,Datos!J15+Datos!AD15)," - ")</f>
        <v>14587</v>
      </c>
      <c r="F15" s="225">
        <f>IF(ISNUMBER(IF(D_I="SI",Datos!K15,Datos!K15+Datos!AE15)),IF(D_I="SI",Datos!K15,Datos!K15+Datos!AE15)," - ")</f>
        <v>14937</v>
      </c>
      <c r="G15" s="1029" t="str">
        <f>IF(Datos!E15&lt;&gt;"",Datos!E15,Datos!D15)</f>
        <v>03</v>
      </c>
      <c r="H15" s="226">
        <f>IF(ISNUMBER(IF(D_I="SI",Datos!L15,Datos!L15+Datos!AF15)),IF(D_I="SI",Datos!L15,Datos!L15+Datos!AF15)," - ")</f>
        <v>13562</v>
      </c>
      <c r="I15" s="1039" t="str">
        <f>IF(ISNUMBER(Datos!AS15/Datos!BM15),Datos!AS15/Datos!BM15," - ")</f>
        <v xml:space="preserve"> - </v>
      </c>
      <c r="J15" s="1040">
        <f>IF(ISNUMBER(Datos!BY15/Datos!CN15),Datos!BY15/Datos!CN15," - ")</f>
        <v>0</v>
      </c>
      <c r="K15" s="229">
        <f t="shared" ref="K15:K18" si="3">IF(ISNUMBER((E15-F15)/C15),(E15-F15)/C15," - ")</f>
        <v>-2.515813686026452E-2</v>
      </c>
      <c r="L15" s="1020">
        <f>IF(ISNUMBER(NºAsuntos!I15/NºAsuntos!G15),(NºAsuntos!I15/NºAsuntos!G15)*11," - ")</f>
        <v>9.9874138046461809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6</v>
      </c>
      <c r="B18" s="501" t="str">
        <f>Datos!A18</f>
        <v>Sección De Violencia sobre la Mujer del TI</v>
      </c>
      <c r="C18" s="224">
        <f t="shared" si="2"/>
        <v>1312</v>
      </c>
      <c r="D18" s="224">
        <f>IF(ISNUMBER(IF(D_I="SI",Datos!I18,Datos!I18+Datos!AC18)),IF(D_I="SI",Datos!I18,Datos!I18+Datos!AC18)," - ")</f>
        <v>1385</v>
      </c>
      <c r="E18" s="225">
        <f>IF(ISNUMBER(IF(D_I="SI",Datos!J18,Datos!J18+Datos!AD18)),IF(D_I="SI",Datos!J18,Datos!J18+Datos!AD18)," - ")</f>
        <v>2005</v>
      </c>
      <c r="F18" s="225">
        <f>IF(ISNUMBER(IF(D_I="SI",Datos!K18,Datos!K18+Datos!AE18)),IF(D_I="SI",Datos!K18,Datos!K18+Datos!AE18)," - ")</f>
        <v>1847</v>
      </c>
      <c r="G18" s="1029" t="str">
        <f>IF(Datos!E18&lt;&gt;"",Datos!E18,Datos!D18)</f>
        <v>37</v>
      </c>
      <c r="H18" s="226">
        <f>IF(ISNUMBER(IF(D_I="SI",Datos!L18,Datos!L18+Datos!AF18)),IF(D_I="SI",Datos!L18,Datos!L18+Datos!AF18)," - ")</f>
        <v>1470</v>
      </c>
      <c r="I18" s="1039" t="str">
        <f>IF(ISNUMBER(Datos!AS18/Datos!BM18),Datos!AS18/Datos!BM18," - ")</f>
        <v xml:space="preserve"> - </v>
      </c>
      <c r="J18" s="1040" t="str">
        <f>IF(ISNUMBER((Datos!BY18+Datos!BZ18)/Datos!CN18),(Datos!BY18+Datos!BZ18)/Datos!CN18," - ")</f>
        <v xml:space="preserve"> - </v>
      </c>
      <c r="K18" s="229">
        <f t="shared" si="3"/>
        <v>0.12042682926829268</v>
      </c>
      <c r="L18" s="1020">
        <f>IF(ISNUMBER(NºAsuntos!I18/NºAsuntos!G18),(NºAsuntos!I18/NºAsuntos!G18)*11," - ")</f>
        <v>8.754737412019491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15224</v>
      </c>
      <c r="D19" s="1044">
        <f>SUBTOTAL(9,D15:D18)</f>
        <v>15123</v>
      </c>
      <c r="E19" s="1045">
        <f>SUBTOTAL(9,E15:E18)</f>
        <v>16592</v>
      </c>
      <c r="F19" s="1045">
        <f>SUBTOTAL(9,F15:F18)</f>
        <v>16784</v>
      </c>
      <c r="G19" s="1047" t="str">
        <f ca="1">INDIRECT(CONCATENATE("G",ROW()-1))</f>
        <v>37</v>
      </c>
      <c r="H19" s="1048">
        <f ca="1">SUMIF(G$14:G18,G19,H$14:H18)</f>
        <v>1470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15596</v>
      </c>
      <c r="D20" s="1066">
        <f>SUBTOTAL(9,D9:D19)</f>
        <v>15495</v>
      </c>
      <c r="E20" s="1067">
        <f>SUBTOTAL(9,E9:E19)</f>
        <v>16792</v>
      </c>
      <c r="F20" s="1067">
        <f>SUBTOTAL(9,F9:F19)</f>
        <v>16989</v>
      </c>
      <c r="G20" s="1068"/>
      <c r="H20" s="1069">
        <f ca="1">SUMIF(B9:B19,"TOTAL",H9:H19)</f>
        <v>1470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ZjQpgZbgrYR3PQy3D30KtVxDE0VKKg3s0vaJEVd8Vfl2NUJxUX9UqdDhUDVk7fUzxNuS9m7TIXS0WGHUM1Eyg==" saltValue="xsnWIMSjVz4CtuDDJbLT9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oLbnZdVlT9tofzaCL2csdVqs4JWClI/QZngZd0eYFKtHlT2kINt26hi9REEm4245HCZZtSSU7cci7li7kl7vg==" saltValue="v/7dKDI3oi5giFapyWoK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35850</v>
      </c>
      <c r="J9" s="180">
        <v>11006</v>
      </c>
      <c r="K9" s="180">
        <v>10866</v>
      </c>
      <c r="L9" s="180">
        <v>36185</v>
      </c>
      <c r="M9" s="180">
        <v>3454</v>
      </c>
      <c r="N9" s="180">
        <v>5183</v>
      </c>
      <c r="O9" s="180">
        <v>4549</v>
      </c>
      <c r="P9" s="180">
        <v>2572</v>
      </c>
      <c r="Q9" s="180">
        <v>2063</v>
      </c>
      <c r="R9" s="180">
        <v>33122</v>
      </c>
      <c r="S9" s="180">
        <v>38486</v>
      </c>
      <c r="T9" s="180">
        <v>18172</v>
      </c>
      <c r="U9" s="180">
        <v>15345</v>
      </c>
      <c r="V9" s="180">
        <v>41311</v>
      </c>
      <c r="W9" s="180">
        <v>3796</v>
      </c>
      <c r="X9" s="187">
        <v>7929</v>
      </c>
      <c r="Y9" s="190">
        <v>746</v>
      </c>
      <c r="Z9" s="180">
        <v>663</v>
      </c>
      <c r="AA9" s="180">
        <v>718</v>
      </c>
      <c r="AB9" s="180">
        <v>691</v>
      </c>
      <c r="AC9" s="180">
        <v>0</v>
      </c>
      <c r="AD9" s="180">
        <v>0</v>
      </c>
      <c r="AE9" s="180">
        <v>0</v>
      </c>
      <c r="AF9" s="187">
        <v>0</v>
      </c>
      <c r="AG9" s="190">
        <v>737</v>
      </c>
      <c r="AH9" s="180">
        <v>887</v>
      </c>
      <c r="AI9" s="180">
        <v>941</v>
      </c>
      <c r="AJ9" s="191">
        <v>683</v>
      </c>
      <c r="AK9" s="179">
        <v>0</v>
      </c>
      <c r="AL9" s="180">
        <v>0</v>
      </c>
      <c r="AM9" s="180">
        <v>0</v>
      </c>
      <c r="AN9" s="187">
        <v>0</v>
      </c>
      <c r="AO9" s="257">
        <v>24</v>
      </c>
      <c r="AP9" s="153">
        <v>24</v>
      </c>
      <c r="AQ9" s="153">
        <v>24</v>
      </c>
      <c r="AR9" s="192">
        <v>24</v>
      </c>
      <c r="AS9" s="337" t="s">
        <v>763</v>
      </c>
      <c r="AT9" s="194"/>
      <c r="AU9" s="193"/>
      <c r="AV9" s="194"/>
      <c r="AW9" s="193"/>
      <c r="AX9" s="194"/>
      <c r="AY9" s="123">
        <f>IF(ISNUMBER(IF(J_V="SI",S9,S9+AG9)),IF(J_V="SI",S9,S9+AG9)," - ")</f>
        <v>39223</v>
      </c>
      <c r="AZ9" s="123">
        <f>IF(ISNUMBER(IF(J_V="SI",T9,T9+AH9)),IF(J_V="SI",T9,T9+AH9)," - ")</f>
        <v>19059</v>
      </c>
      <c r="BA9" s="124">
        <f>IF(ISNUMBER(IF(J_V="SI",U9,U9+AI9)),IF(J_V="SI",U9,U9+AI9)," - ")</f>
        <v>16286</v>
      </c>
      <c r="BB9" s="124">
        <f>IF(ISNUMBER(IF(J_V="SI",V9,V9+AJ9)),IF(J_V="SI",V9,V9+AJ9)," - ")</f>
        <v>41994</v>
      </c>
      <c r="BC9" s="125">
        <f>IF(ISNUMBER(X9),X9," - ")</f>
        <v>7929</v>
      </c>
      <c r="BD9" s="126">
        <f>IF(ISNUMBER(BA9/AZ9),BA9/AZ9," - ")</f>
        <v>0.85450443360092343</v>
      </c>
      <c r="BE9" s="127">
        <f>IF(ISNUMBER(BB9/BA9),BB9/BA9, " - ")</f>
        <v>2.5785337099349133</v>
      </c>
      <c r="BF9" s="127">
        <f>IF(ISNUMBER(BC9/BA9),BC9/BA9, " - ")</f>
        <v>0.48685987965123417</v>
      </c>
      <c r="BG9" s="195">
        <f>IF(ISNUMBER((AY9+AZ9)/BA9),(AY9+AZ9)/BA9," - ")</f>
        <v>3.5786565147979861</v>
      </c>
      <c r="BH9" s="153">
        <v>26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372</v>
      </c>
      <c r="J10" s="180">
        <v>200</v>
      </c>
      <c r="K10" s="180">
        <v>205</v>
      </c>
      <c r="L10" s="180">
        <v>367</v>
      </c>
      <c r="M10" s="180">
        <v>75</v>
      </c>
      <c r="N10" s="180">
        <v>93</v>
      </c>
      <c r="O10" s="180">
        <v>51</v>
      </c>
      <c r="P10" s="180">
        <v>30</v>
      </c>
      <c r="Q10" s="180">
        <v>41</v>
      </c>
      <c r="R10" s="180">
        <v>263</v>
      </c>
      <c r="S10" s="180">
        <v>339</v>
      </c>
      <c r="T10" s="180">
        <v>221</v>
      </c>
      <c r="U10" s="180">
        <v>220</v>
      </c>
      <c r="V10" s="180">
        <v>337</v>
      </c>
      <c r="W10" s="180">
        <v>80</v>
      </c>
      <c r="X10" s="187">
        <v>102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6</v>
      </c>
      <c r="AP10" s="154">
        <v>6</v>
      </c>
      <c r="AQ10" s="153">
        <v>6</v>
      </c>
      <c r="AR10" s="154">
        <v>6</v>
      </c>
      <c r="AS10" s="338" t="s">
        <v>757</v>
      </c>
      <c r="AT10" s="191"/>
      <c r="AU10" s="199"/>
      <c r="AV10" s="191"/>
      <c r="AW10" s="199"/>
      <c r="AX10" s="191"/>
      <c r="AY10" s="128">
        <f t="shared" ref="AY10:BC10" si="0">IF(ISNUMBER(S10),S10," - ")</f>
        <v>339</v>
      </c>
      <c r="AZ10" s="129">
        <f t="shared" si="0"/>
        <v>221</v>
      </c>
      <c r="BA10" s="129">
        <f t="shared" si="0"/>
        <v>220</v>
      </c>
      <c r="BB10" s="129">
        <f t="shared" si="0"/>
        <v>337</v>
      </c>
      <c r="BC10" s="125">
        <f t="shared" si="0"/>
        <v>80</v>
      </c>
      <c r="BD10" s="126">
        <f>IF(ISNUMBER(BA10/AZ10),BA10/AZ10," - ")</f>
        <v>0.99547511312217196</v>
      </c>
      <c r="BE10" s="127">
        <f>IF(ISNUMBER(BB10/BA10),BB10/BA10, " - ")</f>
        <v>1.5318181818181817</v>
      </c>
      <c r="BF10" s="127">
        <f>IF(ISNUMBER(BC10/BA10),BC10/BA10, " - ")</f>
        <v>0.36363636363636365</v>
      </c>
      <c r="BG10" s="195">
        <f>IF(ISNUMBER((AY10+AZ10)/BA10),(AY10+AZ10)/BA10," - ")</f>
        <v>2.5454545454545454</v>
      </c>
      <c r="BH10" s="154">
        <v>6</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1158</v>
      </c>
      <c r="J11" s="182">
        <v>1349</v>
      </c>
      <c r="K11" s="182">
        <v>1409</v>
      </c>
      <c r="L11" s="182">
        <v>1121</v>
      </c>
      <c r="M11" s="182">
        <v>475</v>
      </c>
      <c r="N11" s="182">
        <v>1317</v>
      </c>
      <c r="O11" s="180">
        <v>594</v>
      </c>
      <c r="P11" s="182">
        <v>180</v>
      </c>
      <c r="Q11" s="182">
        <v>190</v>
      </c>
      <c r="R11" s="182">
        <v>1652</v>
      </c>
      <c r="S11" s="182">
        <v>1819</v>
      </c>
      <c r="T11" s="182">
        <v>1281</v>
      </c>
      <c r="U11" s="182">
        <v>1397</v>
      </c>
      <c r="V11" s="182">
        <v>1567</v>
      </c>
      <c r="W11" s="182">
        <v>539</v>
      </c>
      <c r="X11" s="188">
        <v>1195</v>
      </c>
      <c r="Y11" s="190">
        <v>458</v>
      </c>
      <c r="Z11" s="180">
        <v>829</v>
      </c>
      <c r="AA11" s="180">
        <v>825</v>
      </c>
      <c r="AB11" s="180">
        <v>462</v>
      </c>
      <c r="AC11" s="182">
        <v>0</v>
      </c>
      <c r="AD11" s="182">
        <v>0</v>
      </c>
      <c r="AE11" s="182">
        <v>0</v>
      </c>
      <c r="AF11" s="188">
        <v>0</v>
      </c>
      <c r="AG11" s="201">
        <v>517</v>
      </c>
      <c r="AH11" s="182">
        <v>723</v>
      </c>
      <c r="AI11" s="182">
        <v>745</v>
      </c>
      <c r="AJ11" s="202">
        <v>495</v>
      </c>
      <c r="AK11" s="181">
        <v>0</v>
      </c>
      <c r="AL11" s="182">
        <v>0</v>
      </c>
      <c r="AM11" s="182">
        <v>0</v>
      </c>
      <c r="AN11" s="188">
        <v>0</v>
      </c>
      <c r="AO11" s="258">
        <v>7</v>
      </c>
      <c r="AP11" s="154">
        <v>7</v>
      </c>
      <c r="AQ11" s="154">
        <v>6</v>
      </c>
      <c r="AR11" s="153">
        <v>6</v>
      </c>
      <c r="AS11" s="339" t="s">
        <v>765</v>
      </c>
      <c r="AT11" s="202"/>
      <c r="AU11" s="201"/>
      <c r="AV11" s="202"/>
      <c r="AW11" s="201"/>
      <c r="AX11" s="202"/>
      <c r="AY11" s="126">
        <f t="shared" ref="AY11:BB12" si="1">IF(ISNUMBER(IF(J_V="SI",S11,S11+AG11)),IF(J_V="SI",S11,S11+AG11)," - ")</f>
        <v>2336</v>
      </c>
      <c r="AZ11" s="127">
        <f t="shared" si="1"/>
        <v>2004</v>
      </c>
      <c r="BA11" s="127">
        <f t="shared" si="1"/>
        <v>2142</v>
      </c>
      <c r="BB11" s="127">
        <f t="shared" si="1"/>
        <v>2062</v>
      </c>
      <c r="BC11" s="125">
        <f>IF(ISNUMBER(X11),X11," - ")</f>
        <v>1195</v>
      </c>
      <c r="BD11" s="126">
        <f t="shared" ref="BD11:BD12" si="2">IF(ISNUMBER(BA11/AZ11),BA11/AZ11," - ")</f>
        <v>1.0688622754491017</v>
      </c>
      <c r="BE11" s="127">
        <f t="shared" ref="BE11:BE12" si="3">IF(ISNUMBER(BB11/BA11),BB11/BA11, " - ")</f>
        <v>0.96265172735760973</v>
      </c>
      <c r="BF11" s="127">
        <f t="shared" ref="BF11:BF12" si="4">IF(ISNUMBER(BC11/BA11),BC11/BA11, " - ")</f>
        <v>0.55788982259570497</v>
      </c>
      <c r="BG11" s="195">
        <f t="shared" ref="BG11:BG12" si="5">IF(ISNUMBER((AY11+AZ11)/BA11),(AY11+AZ11)/BA11," - ")</f>
        <v>2.0261437908496731</v>
      </c>
      <c r="BH11" s="154">
        <v>11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37380</v>
      </c>
      <c r="J13" s="183">
        <f t="shared" si="6"/>
        <v>12555</v>
      </c>
      <c r="K13" s="183">
        <f t="shared" si="6"/>
        <v>12480</v>
      </c>
      <c r="L13" s="183">
        <f t="shared" si="6"/>
        <v>37673</v>
      </c>
      <c r="M13" s="183">
        <f t="shared" si="6"/>
        <v>4004</v>
      </c>
      <c r="N13" s="183">
        <f t="shared" si="6"/>
        <v>6593</v>
      </c>
      <c r="O13" s="183">
        <f t="shared" si="6"/>
        <v>5194</v>
      </c>
      <c r="P13" s="183">
        <f t="shared" si="6"/>
        <v>2782</v>
      </c>
      <c r="Q13" s="183">
        <f t="shared" si="6"/>
        <v>2294</v>
      </c>
      <c r="R13" s="183">
        <f t="shared" si="6"/>
        <v>35037</v>
      </c>
      <c r="S13" s="183">
        <f t="shared" si="6"/>
        <v>40644</v>
      </c>
      <c r="T13" s="183">
        <f t="shared" si="6"/>
        <v>19674</v>
      </c>
      <c r="U13" s="183">
        <f t="shared" si="6"/>
        <v>16962</v>
      </c>
      <c r="V13" s="183">
        <f t="shared" si="6"/>
        <v>43215</v>
      </c>
      <c r="W13" s="183">
        <f t="shared" si="6"/>
        <v>4415</v>
      </c>
      <c r="X13" s="183">
        <f t="shared" si="6"/>
        <v>9226</v>
      </c>
      <c r="Y13" s="183">
        <f t="shared" si="6"/>
        <v>1204</v>
      </c>
      <c r="Z13" s="183">
        <f t="shared" si="6"/>
        <v>1492</v>
      </c>
      <c r="AA13" s="183">
        <f t="shared" si="6"/>
        <v>1543</v>
      </c>
      <c r="AB13" s="183">
        <f t="shared" si="6"/>
        <v>1153</v>
      </c>
      <c r="AC13" s="183">
        <f t="shared" si="6"/>
        <v>0</v>
      </c>
      <c r="AD13" s="183">
        <f t="shared" si="6"/>
        <v>0</v>
      </c>
      <c r="AE13" s="183">
        <f t="shared" si="6"/>
        <v>0</v>
      </c>
      <c r="AF13" s="183">
        <f>SUBTOTAL(9,AF9:AF12)</f>
        <v>0</v>
      </c>
      <c r="AG13" s="183">
        <f t="shared" ref="AG13:AT13" si="7">SUBTOTAL(9,AG8:AG12)</f>
        <v>1254</v>
      </c>
      <c r="AH13" s="183">
        <f t="shared" si="7"/>
        <v>1610</v>
      </c>
      <c r="AI13" s="183">
        <f t="shared" si="7"/>
        <v>1686</v>
      </c>
      <c r="AJ13" s="183">
        <f t="shared" si="7"/>
        <v>1178</v>
      </c>
      <c r="AK13" s="183">
        <f t="shared" si="7"/>
        <v>0</v>
      </c>
      <c r="AL13" s="183">
        <f t="shared" si="7"/>
        <v>0</v>
      </c>
      <c r="AM13" s="183">
        <f t="shared" si="7"/>
        <v>0</v>
      </c>
      <c r="AN13" s="183">
        <f t="shared" si="7"/>
        <v>0</v>
      </c>
      <c r="AO13" s="183">
        <f t="shared" si="7"/>
        <v>37</v>
      </c>
      <c r="AP13" s="183">
        <f t="shared" si="7"/>
        <v>37</v>
      </c>
      <c r="AQ13" s="183">
        <f t="shared" si="7"/>
        <v>36</v>
      </c>
      <c r="AR13" s="183">
        <f t="shared" si="7"/>
        <v>36</v>
      </c>
      <c r="AS13" s="183">
        <f t="shared" si="7"/>
        <v>0</v>
      </c>
      <c r="AT13" s="183">
        <f t="shared" si="7"/>
        <v>0</v>
      </c>
      <c r="AU13" s="203"/>
      <c r="AV13" s="132"/>
      <c r="AW13" s="203"/>
      <c r="AX13" s="132"/>
      <c r="AY13" s="183">
        <f>SUBTOTAL(9,AY8:AY12)</f>
        <v>41898</v>
      </c>
      <c r="AZ13" s="183">
        <f>SUBTOTAL(9,AZ8:AZ12)</f>
        <v>21284</v>
      </c>
      <c r="BA13" s="183">
        <f>SUBTOTAL(9,BA8:BA12)</f>
        <v>18648</v>
      </c>
      <c r="BB13" s="183">
        <f>SUBTOTAL(9,BB8:BB12)</f>
        <v>44393</v>
      </c>
      <c r="BC13" s="183">
        <f>SUBTOTAL(9,BC8:BC12)</f>
        <v>9204</v>
      </c>
      <c r="BD13" s="204">
        <f>IF(ISNUMBER(BA13/AZ13),BA13/AZ13," - ")</f>
        <v>0.87615109941740277</v>
      </c>
      <c r="BE13" s="205">
        <f>IF(ISNUMBER(BB13/BA13),BB13/BA13, " - ")</f>
        <v>2.3805770055770057</v>
      </c>
      <c r="BF13" s="205">
        <f>IF(ISNUMBER(BC13/BA13),BC13/BA13, " - ")</f>
        <v>0.49356499356499356</v>
      </c>
      <c r="BG13" s="206">
        <f>IF(ISNUMBER((AY13+AZ13)/BA13),(AY13+AZ13)/BA13," - ")</f>
        <v>3.3881381381381384</v>
      </c>
      <c r="BH13" s="139">
        <f>SUBTOTAL(9,BH8:BH12)</f>
        <v>43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13738</v>
      </c>
      <c r="J15" s="182">
        <v>14587</v>
      </c>
      <c r="K15" s="182">
        <v>14937</v>
      </c>
      <c r="L15" s="182">
        <v>13562</v>
      </c>
      <c r="M15" s="182">
        <v>1947</v>
      </c>
      <c r="N15" s="182">
        <v>9314</v>
      </c>
      <c r="O15" s="180">
        <v>445</v>
      </c>
      <c r="P15" s="182">
        <v>769</v>
      </c>
      <c r="Q15" s="182">
        <v>865</v>
      </c>
      <c r="R15" s="182">
        <v>1958</v>
      </c>
      <c r="S15" s="182">
        <v>11890</v>
      </c>
      <c r="T15" s="182">
        <v>14292</v>
      </c>
      <c r="U15" s="182">
        <v>15013</v>
      </c>
      <c r="V15" s="182">
        <v>11394</v>
      </c>
      <c r="W15" s="182">
        <v>2290</v>
      </c>
      <c r="X15" s="188">
        <v>8081</v>
      </c>
      <c r="Y15" s="201">
        <v>0</v>
      </c>
      <c r="Z15" s="182">
        <v>0</v>
      </c>
      <c r="AA15" s="182">
        <v>0</v>
      </c>
      <c r="AB15" s="182">
        <v>0</v>
      </c>
      <c r="AC15" s="182">
        <v>1</v>
      </c>
      <c r="AD15" s="182">
        <v>39</v>
      </c>
      <c r="AE15" s="182">
        <v>40</v>
      </c>
      <c r="AF15" s="188">
        <v>0</v>
      </c>
      <c r="AG15" s="201">
        <v>0</v>
      </c>
      <c r="AH15" s="182">
        <v>0</v>
      </c>
      <c r="AI15" s="182">
        <v>0</v>
      </c>
      <c r="AJ15" s="202">
        <v>0</v>
      </c>
      <c r="AK15" s="181">
        <v>3</v>
      </c>
      <c r="AL15" s="182">
        <v>92</v>
      </c>
      <c r="AM15" s="182">
        <v>93</v>
      </c>
      <c r="AN15" s="188">
        <v>2</v>
      </c>
      <c r="AO15" s="258">
        <v>21</v>
      </c>
      <c r="AP15" s="154">
        <v>21</v>
      </c>
      <c r="AQ15" s="154">
        <v>21</v>
      </c>
      <c r="AR15" s="154">
        <v>21</v>
      </c>
      <c r="AS15" s="339" t="s">
        <v>520</v>
      </c>
      <c r="AT15" s="202" t="s">
        <v>327</v>
      </c>
      <c r="AU15" s="201"/>
      <c r="AV15" s="202"/>
      <c r="AW15" s="201"/>
      <c r="AX15" s="202"/>
      <c r="AY15" s="128">
        <f t="shared" ref="AY15:BB17" si="9">IF(ISNUMBER(IF(D_I="SI",S15,S15+AK15)),IF(D_I="SI",S15,S15+AK15)," - ")</f>
        <v>11890</v>
      </c>
      <c r="AZ15" s="129">
        <f t="shared" si="9"/>
        <v>14292</v>
      </c>
      <c r="BA15" s="129">
        <f t="shared" si="9"/>
        <v>15013</v>
      </c>
      <c r="BB15" s="129">
        <f t="shared" si="9"/>
        <v>11394</v>
      </c>
      <c r="BC15" s="125">
        <f>IF(ISNUMBER(W15),W15," - ")</f>
        <v>2290</v>
      </c>
      <c r="BD15" s="126">
        <f>IF(ISNUMBER(BA15/AZ15),BA15/AZ15," - ")</f>
        <v>1.0504478029666946</v>
      </c>
      <c r="BE15" s="127">
        <f>IF(ISNUMBER(BB15/BA15),BB15/BA15, " - ")</f>
        <v>0.75894225004995675</v>
      </c>
      <c r="BF15" s="127">
        <f>IF(ISNUMBER(BC15/BA15),BC15/BA15, " - ")</f>
        <v>0.15253447012589089</v>
      </c>
      <c r="BG15" s="195">
        <f t="shared" ref="BG15:BG17" si="10">IF(ISNUMBER((AY15+AZ15)/BA15),(AY15+AZ15)/BA15," - ")</f>
        <v>1.7439552387930459</v>
      </c>
      <c r="BH15" s="154">
        <v>21</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1385</v>
      </c>
      <c r="J18" s="182">
        <v>2005</v>
      </c>
      <c r="K18" s="182">
        <v>1847</v>
      </c>
      <c r="L18" s="182">
        <v>1470</v>
      </c>
      <c r="M18" s="182">
        <v>96</v>
      </c>
      <c r="N18" s="182">
        <v>1256</v>
      </c>
      <c r="O18" s="182">
        <v>10</v>
      </c>
      <c r="P18" s="182">
        <v>27</v>
      </c>
      <c r="Q18" s="182">
        <v>26</v>
      </c>
      <c r="R18" s="182">
        <v>37</v>
      </c>
      <c r="S18" s="182">
        <v>1494</v>
      </c>
      <c r="T18" s="182">
        <v>1994</v>
      </c>
      <c r="U18" s="182">
        <v>2109</v>
      </c>
      <c r="V18" s="182">
        <v>1386</v>
      </c>
      <c r="W18" s="182">
        <v>122</v>
      </c>
      <c r="X18" s="188">
        <v>1350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6</v>
      </c>
      <c r="AP18" s="154">
        <v>6</v>
      </c>
      <c r="AQ18" s="153">
        <v>6</v>
      </c>
      <c r="AR18" s="154">
        <v>6</v>
      </c>
      <c r="AS18" s="338" t="s">
        <v>880</v>
      </c>
      <c r="AT18" s="208"/>
      <c r="AU18" s="199"/>
      <c r="AV18" s="208"/>
      <c r="AW18" s="199"/>
      <c r="AX18" s="208"/>
      <c r="AY18" s="128">
        <f t="shared" ref="AY18:BB18" si="19">IF(ISNUMBER(S18),S18," - ")</f>
        <v>1494</v>
      </c>
      <c r="AZ18" s="129">
        <f t="shared" si="19"/>
        <v>1994</v>
      </c>
      <c r="BA18" s="129">
        <f t="shared" si="19"/>
        <v>2109</v>
      </c>
      <c r="BB18" s="129">
        <f t="shared" si="19"/>
        <v>1386</v>
      </c>
      <c r="BC18" s="125">
        <f>IF(ISNUMBER(W18),W18," - ")</f>
        <v>122</v>
      </c>
      <c r="BD18" s="126">
        <f>IF(ISNUMBER(BA18/AZ18),BA18/AZ18," - ")</f>
        <v>1.0576730190571715</v>
      </c>
      <c r="BE18" s="127">
        <f>IF(ISNUMBER(BB18/BA18),BB18/BA18, " - ")</f>
        <v>0.65718349928876241</v>
      </c>
      <c r="BF18" s="127">
        <f>IF(ISNUMBER(BC18/BA18),BC18/BA18, " - ")</f>
        <v>5.7847321005215745E-2</v>
      </c>
      <c r="BG18" s="195">
        <f>IF(ISNUMBER((AY18+AZ18)/BA18),(AY18+AZ18)/BA18," - ")</f>
        <v>1.653864390706496</v>
      </c>
      <c r="BH18" s="154">
        <v>6</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15123</v>
      </c>
      <c r="J19" s="183">
        <f t="shared" si="20"/>
        <v>16592</v>
      </c>
      <c r="K19" s="183">
        <f t="shared" si="20"/>
        <v>16784</v>
      </c>
      <c r="L19" s="183">
        <f t="shared" si="20"/>
        <v>15032</v>
      </c>
      <c r="M19" s="183">
        <f t="shared" si="20"/>
        <v>2043</v>
      </c>
      <c r="N19" s="183">
        <f t="shared" si="20"/>
        <v>10570</v>
      </c>
      <c r="O19" s="183">
        <f t="shared" si="20"/>
        <v>455</v>
      </c>
      <c r="P19" s="183">
        <f t="shared" si="20"/>
        <v>796</v>
      </c>
      <c r="Q19" s="183">
        <f t="shared" si="20"/>
        <v>891</v>
      </c>
      <c r="R19" s="183">
        <f t="shared" si="20"/>
        <v>1995</v>
      </c>
      <c r="S19" s="183">
        <f t="shared" si="20"/>
        <v>13384</v>
      </c>
      <c r="T19" s="183">
        <f t="shared" si="20"/>
        <v>16286</v>
      </c>
      <c r="U19" s="183">
        <f t="shared" si="20"/>
        <v>17122</v>
      </c>
      <c r="V19" s="183">
        <f t="shared" si="20"/>
        <v>12780</v>
      </c>
      <c r="W19" s="183">
        <f t="shared" si="20"/>
        <v>2412</v>
      </c>
      <c r="X19" s="183">
        <f t="shared" si="20"/>
        <v>9431</v>
      </c>
      <c r="Y19" s="183">
        <f t="shared" si="20"/>
        <v>0</v>
      </c>
      <c r="Z19" s="183">
        <f t="shared" si="20"/>
        <v>0</v>
      </c>
      <c r="AA19" s="183">
        <f t="shared" si="20"/>
        <v>0</v>
      </c>
      <c r="AB19" s="183">
        <f t="shared" si="20"/>
        <v>0</v>
      </c>
      <c r="AC19" s="183">
        <f t="shared" si="20"/>
        <v>1</v>
      </c>
      <c r="AD19" s="183">
        <f t="shared" si="20"/>
        <v>39</v>
      </c>
      <c r="AE19" s="183">
        <f t="shared" si="20"/>
        <v>40</v>
      </c>
      <c r="AF19" s="183">
        <f t="shared" si="20"/>
        <v>0</v>
      </c>
      <c r="AG19" s="183">
        <f t="shared" si="20"/>
        <v>0</v>
      </c>
      <c r="AH19" s="183">
        <f t="shared" si="20"/>
        <v>0</v>
      </c>
      <c r="AI19" s="183">
        <f t="shared" si="20"/>
        <v>0</v>
      </c>
      <c r="AJ19" s="183">
        <f t="shared" si="20"/>
        <v>0</v>
      </c>
      <c r="AK19" s="183">
        <f t="shared" si="20"/>
        <v>3</v>
      </c>
      <c r="AL19" s="183">
        <f t="shared" si="20"/>
        <v>92</v>
      </c>
      <c r="AM19" s="183">
        <f t="shared" si="20"/>
        <v>93</v>
      </c>
      <c r="AN19" s="183">
        <f t="shared" si="20"/>
        <v>2</v>
      </c>
      <c r="AO19" s="183">
        <f t="shared" si="20"/>
        <v>27</v>
      </c>
      <c r="AP19" s="183">
        <f t="shared" si="20"/>
        <v>27</v>
      </c>
      <c r="AQ19" s="183">
        <f t="shared" si="20"/>
        <v>27</v>
      </c>
      <c r="AR19" s="183">
        <f t="shared" si="20"/>
        <v>27</v>
      </c>
      <c r="AS19" s="183">
        <f t="shared" si="20"/>
        <v>0</v>
      </c>
      <c r="AT19" s="183">
        <f t="shared" si="20"/>
        <v>0</v>
      </c>
      <c r="AU19" s="203"/>
      <c r="AV19" s="132"/>
      <c r="AW19" s="203"/>
      <c r="AX19" s="132"/>
      <c r="AY19" s="183">
        <f>SUBTOTAL(9,AY14:AY18)</f>
        <v>13384</v>
      </c>
      <c r="AZ19" s="183">
        <f>SUBTOTAL(9,AZ14:AZ18)</f>
        <v>16286</v>
      </c>
      <c r="BA19" s="183">
        <f>SUBTOTAL(9,BA14:BA18)</f>
        <v>17122</v>
      </c>
      <c r="BB19" s="183">
        <f>SUBTOTAL(9,BB14:BB18)</f>
        <v>12780</v>
      </c>
      <c r="BC19" s="183">
        <f>SUBTOTAL(9,BC14:BC18)</f>
        <v>2412</v>
      </c>
      <c r="BD19" s="204">
        <f>IF(ISNUMBER(BA19/AZ19),BA19/AZ19," - ")</f>
        <v>1.0513324327643374</v>
      </c>
      <c r="BE19" s="205">
        <f>IF(ISNUMBER(BB19/BA19),BB19/BA19, " - ")</f>
        <v>0.74640812989136784</v>
      </c>
      <c r="BF19" s="205">
        <f>IF(ISNUMBER(BC19/BA19),BC19/BA19, " - ")</f>
        <v>0.14087139352879335</v>
      </c>
      <c r="BG19" s="206">
        <f>IF(ISNUMBER((AY19+AZ19)/BA19),(AY19+AZ19)/BA19," - ")</f>
        <v>1.7328583109449831</v>
      </c>
      <c r="BH19" s="183">
        <f>SUBTOTAL(9,BH14:BH18)</f>
        <v>27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52503</v>
      </c>
      <c r="J20" s="134">
        <f t="shared" si="23"/>
        <v>29147</v>
      </c>
      <c r="K20" s="134">
        <f t="shared" si="23"/>
        <v>29264</v>
      </c>
      <c r="L20" s="134">
        <f t="shared" si="23"/>
        <v>52705</v>
      </c>
      <c r="M20" s="134">
        <f t="shared" si="23"/>
        <v>6047</v>
      </c>
      <c r="N20" s="134">
        <f t="shared" si="23"/>
        <v>17163</v>
      </c>
      <c r="O20" s="134">
        <f t="shared" si="23"/>
        <v>5649</v>
      </c>
      <c r="P20" s="134">
        <f t="shared" si="23"/>
        <v>3578</v>
      </c>
      <c r="Q20" s="134">
        <f t="shared" si="23"/>
        <v>3185</v>
      </c>
      <c r="R20" s="134">
        <f t="shared" si="23"/>
        <v>37032</v>
      </c>
      <c r="S20" s="134">
        <f t="shared" si="23"/>
        <v>54028</v>
      </c>
      <c r="T20" s="134">
        <f t="shared" si="23"/>
        <v>35960</v>
      </c>
      <c r="U20" s="134">
        <f t="shared" si="23"/>
        <v>34084</v>
      </c>
      <c r="V20" s="134">
        <f t="shared" si="23"/>
        <v>55995</v>
      </c>
      <c r="W20" s="134">
        <f t="shared" si="23"/>
        <v>6827</v>
      </c>
      <c r="X20" s="134">
        <f t="shared" si="23"/>
        <v>18657</v>
      </c>
      <c r="Y20" s="134">
        <f t="shared" si="23"/>
        <v>1204</v>
      </c>
      <c r="Z20" s="134">
        <f t="shared" si="23"/>
        <v>1492</v>
      </c>
      <c r="AA20" s="134">
        <f t="shared" si="23"/>
        <v>1543</v>
      </c>
      <c r="AB20" s="134">
        <f t="shared" si="23"/>
        <v>1153</v>
      </c>
      <c r="AC20" s="134">
        <f t="shared" si="23"/>
        <v>1</v>
      </c>
      <c r="AD20" s="134">
        <f t="shared" si="23"/>
        <v>39</v>
      </c>
      <c r="AE20" s="134">
        <f t="shared" si="23"/>
        <v>40</v>
      </c>
      <c r="AF20" s="134">
        <f t="shared" si="23"/>
        <v>0</v>
      </c>
      <c r="AG20" s="134">
        <f t="shared" si="23"/>
        <v>1254</v>
      </c>
      <c r="AH20" s="134">
        <f t="shared" si="23"/>
        <v>1610</v>
      </c>
      <c r="AI20" s="134">
        <f t="shared" si="23"/>
        <v>1686</v>
      </c>
      <c r="AJ20" s="134">
        <f t="shared" si="23"/>
        <v>1178</v>
      </c>
      <c r="AK20" s="134">
        <f t="shared" si="23"/>
        <v>3</v>
      </c>
      <c r="AL20" s="134">
        <f t="shared" si="23"/>
        <v>92</v>
      </c>
      <c r="AM20" s="134">
        <f t="shared" si="23"/>
        <v>93</v>
      </c>
      <c r="AN20" s="209">
        <f t="shared" si="23"/>
        <v>2</v>
      </c>
      <c r="AO20" s="210">
        <v>58</v>
      </c>
      <c r="AP20" s="210">
        <v>58</v>
      </c>
      <c r="AQ20" s="210">
        <v>57</v>
      </c>
      <c r="AR20" s="210">
        <v>57</v>
      </c>
      <c r="AS20" s="152">
        <f t="shared" si="23"/>
        <v>0</v>
      </c>
      <c r="AT20" s="152">
        <f t="shared" si="23"/>
        <v>0</v>
      </c>
      <c r="AU20" s="210"/>
      <c r="AV20" s="211"/>
      <c r="AW20" s="210"/>
      <c r="AX20" s="211"/>
      <c r="AY20" s="133">
        <f>SUBTOTAL(9,AY9:AY19)</f>
        <v>55282</v>
      </c>
      <c r="AZ20" s="134">
        <f>SUBTOTAL(9,AZ9:AZ19)</f>
        <v>37570</v>
      </c>
      <c r="BA20" s="134">
        <f>SUBTOTAL(9,BA9:BA19)</f>
        <v>35770</v>
      </c>
      <c r="BB20" s="134">
        <f>SUBTOTAL(9,BB9:BB19)</f>
        <v>57173</v>
      </c>
      <c r="BC20" s="135">
        <f>SUBTOTAL(9,BC9:BC19)</f>
        <v>11616</v>
      </c>
      <c r="BD20" s="212">
        <f>IF(ISNUMBER(BA20/AZ20),BA20/AZ20," - ")</f>
        <v>0.95208943305829119</v>
      </c>
      <c r="BE20" s="209">
        <f>IF(ISNUMBER(BB20/BA20),BB20/BA20, " - ")</f>
        <v>1.5983505731059546</v>
      </c>
      <c r="BF20" s="209">
        <f>IF(ISNUMBER(BC20/BA20),BC20/BA20, " - ")</f>
        <v>0.32474140341067936</v>
      </c>
      <c r="BG20" s="135">
        <f>IF(ISNUMBER((AY20+AZ20)/BA20),(AY20+AZ20)/BA20," - ")</f>
        <v>2.5958065417948002</v>
      </c>
      <c r="BH20" s="210">
        <f>SUBTOTAL(9,BH9:BH19)</f>
        <v>70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6MeCtRWGV7fadm9Tplj1nRmAOxMRHBXri8J99GghG1HVAYSNsTc+nV9dC/yPM2oTHsrCSJvZFtybj7EzcYIPw==" saltValue="hD+/DOfS9vKkE0i7JBnz1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UmofKuCQYKV6MWBFrYtTJTOiXUuxQRoY3insGHA1J2jUDncGsMIKlCYe7j+lzMxzRN2LiqqHnsK9OQdFbf8Yw==" saltValue="GpGRp9Y+UIsBgugksWrB3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VALENCIA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24</v>
      </c>
      <c r="B9" s="1275" t="s">
        <v>247</v>
      </c>
      <c r="C9" s="1200" t="str">
        <f>Datos!A9</f>
        <v>Sección Civil del T.I</v>
      </c>
      <c r="D9" s="1276"/>
      <c r="E9" s="1226">
        <f>IF(ISNUMBER(Datos!AQ9),Datos!AQ9," - ")</f>
        <v>24</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663</v>
      </c>
      <c r="O9" s="1247"/>
      <c r="P9" s="1247"/>
      <c r="Q9" s="1215">
        <f>IF(ISNUMBER(Datos!P9),Datos!P9,0)</f>
        <v>2572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2063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691</v>
      </c>
      <c r="AI9" s="1247" t="str">
        <f>IF(ISNUMBER(Datos!CD9),Datos!CD9,"-")</f>
        <v>-</v>
      </c>
      <c r="AJ9" s="1247" t="str">
        <f>IF(ISNUMBER(Datos!EN9),Datos!EN9," - ")</f>
        <v xml:space="preserve"> - </v>
      </c>
      <c r="AK9" s="1247"/>
      <c r="AL9" s="1258"/>
      <c r="AM9" s="1248">
        <f>IF(ISNUMBER(Datos!R9),Datos!R9," - ")</f>
        <v>33122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3454</v>
      </c>
      <c r="BD9" s="1218">
        <f>IF(ISNUMBER(Datos!N9),Datos!N9," - ")</f>
        <v>5183</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0.99271574256577255</v>
      </c>
      <c r="BH9" s="1226">
        <f>IF(ISNUMBER(((IF(J_V="SI",Datos!L9/Datos!K9,(Datos!L9+Datos!AB9)/(Datos!K9+Datos!AA9)))*11)/factor_trimestre),((IF(J_V="SI",Datos!L9/Datos!K9,(Datos!L9+Datos!AB9)/(Datos!K9+Datos!AA9)))*11)/factor_trimestre," - ")</f>
        <v>9.5500690607734793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1.560727317327446E-2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6</v>
      </c>
      <c r="B10" s="1280" t="s">
        <v>247</v>
      </c>
      <c r="C10" s="1193" t="str">
        <f>Datos!A10</f>
        <v>Sección De Violencia sobre la Mujer del TI</v>
      </c>
      <c r="D10" s="1281"/>
      <c r="E10" s="1226">
        <f>IF(ISNUMBER(Datos!AQ10),Datos!AQ10," - ")</f>
        <v>6</v>
      </c>
      <c r="F10" s="1214">
        <f>IF(ISNUMBER(Datos!L10+Datos!K10-Datos!J10),Datos!L10+Datos!K10-Datos!J10," - ")</f>
        <v>372</v>
      </c>
      <c r="G10" s="1246">
        <f>IF(ISNUMBER(Datos!I10),Datos!I10," - ")</f>
        <v>372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205</v>
      </c>
      <c r="AC10" s="1215">
        <f>IF(ISNUMBER(Datos!Q10),Datos!Q10," - ")</f>
        <v>41</v>
      </c>
      <c r="AD10" s="1247"/>
      <c r="AE10" s="1262"/>
      <c r="AF10" s="1245">
        <f>IF(ISNUMBER(Datos!L10),Datos!L10,"-")</f>
        <v>367</v>
      </c>
      <c r="AG10" s="1247"/>
      <c r="AH10" s="1247"/>
      <c r="AI10" s="1247"/>
      <c r="AJ10" s="1247"/>
      <c r="AK10" s="1247"/>
      <c r="AL10" s="1258"/>
      <c r="AM10" s="1248">
        <f>IF(ISNUMBER(Datos!R10),Datos!R10," - ")</f>
        <v>263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75</v>
      </c>
      <c r="BD10" s="1218">
        <f>IF(ISNUMBER(Datos!N10),Datos!N10," - ")</f>
        <v>93</v>
      </c>
      <c r="BE10" s="1218" t="str">
        <f>IF(ISNUMBER(Datos!BW10),Datos!BW10," - ")</f>
        <v xml:space="preserve"> - </v>
      </c>
      <c r="BF10" s="1217" t="str">
        <f>IF(ISNUMBER(Datos!BX10),Datos!BX10," - ")</f>
        <v xml:space="preserve"> - </v>
      </c>
      <c r="BG10" s="1223">
        <f>IF(ISNUMBER(Datos!K10/Datos!J10),Datos!K10/Datos!J10," - ")</f>
        <v>1.0249999999999999</v>
      </c>
      <c r="BH10" s="1226">
        <f>IF(ISNUMBER(((Datos!L10/Datos!K10)*11)/factor_trimestre),((Datos!L10/Datos!K10)*11)/factor_trimestre," - ")</f>
        <v>5.3707317073170735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-4.0145985401459854E-2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7</v>
      </c>
      <c r="B11" s="1280" t="s">
        <v>247</v>
      </c>
      <c r="C11" s="1193" t="str">
        <f>Datos!A11</f>
        <v xml:space="preserve">Sección de Familia, infancia e incapacidad del TI                           </v>
      </c>
      <c r="D11" s="1281"/>
      <c r="E11" s="1226">
        <f>IF(ISNUMBER(Datos!AQ11),Datos!AQ11," - ")</f>
        <v>6</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829</v>
      </c>
      <c r="O11" s="1247"/>
      <c r="P11" s="1247"/>
      <c r="Q11" s="1215">
        <f>IF(ISNUMBER(Datos!P11),Datos!P11,0)</f>
        <v>180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190</v>
      </c>
      <c r="AD11" s="1247"/>
      <c r="AE11" s="1262"/>
      <c r="AF11" s="1245" t="str">
        <f>IF(ISNUMBER(IF(J_V="SI",Datos!L11,Datos!L11+Datos!AB11)-IF(Monitorios="SI",Datos!CD11,0)),
                          IF(J_V="SI",Datos!L11,Datos!L11+Datos!AB11)-IF(Monitorios="SI",Datos!CD11,0),
                          " - ")</f>
        <v xml:space="preserve"> - </v>
      </c>
      <c r="AG11" s="1247"/>
      <c r="AH11" s="1247">
        <f>IF(ISNUMBER(Datos!AB11),Datos!AB11,"-")</f>
        <v>462</v>
      </c>
      <c r="AI11" s="1247"/>
      <c r="AJ11" s="1247"/>
      <c r="AK11" s="1247"/>
      <c r="AL11" s="1258"/>
      <c r="AM11" s="1248">
        <f>IF(ISNUMBER(Datos!R11),Datos!R11," - ")</f>
        <v>1652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475</v>
      </c>
      <c r="BD11" s="1218">
        <f>IF(ISNUMBER(Datos!N11),Datos!N11," - ")</f>
        <v>1317</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1.0257116620752984</v>
      </c>
      <c r="BH11" s="1226">
        <f>IF(ISNUMBER(((IF(J_V="SI",Datos!L11/Datos!K11,(Datos!L11+Datos!AB11)/(Datos!K11+Datos!AA11)))*11)/factor_trimestre),((IF(J_V="SI",Datos!L11/Datos!K11,(Datos!L11+Datos!AB11)/(Datos!K11+Datos!AA11)))*11)/factor_trimestre," - ")</f>
        <v>2.1257833482542523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-6.0168471720818293E-3</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36</v>
      </c>
      <c r="F13" s="1391">
        <f t="shared" si="0"/>
        <v>372</v>
      </c>
      <c r="G13" s="1391">
        <f t="shared" si="0"/>
        <v>372</v>
      </c>
      <c r="H13" s="1392">
        <f t="shared" si="0"/>
        <v>0</v>
      </c>
      <c r="I13" s="1391">
        <f t="shared" si="0"/>
        <v>0</v>
      </c>
      <c r="J13" s="1383">
        <f t="shared" si="0"/>
        <v>0</v>
      </c>
      <c r="K13" s="1383">
        <f t="shared" si="0"/>
        <v>0</v>
      </c>
      <c r="L13" s="1392">
        <f t="shared" si="0"/>
        <v>0</v>
      </c>
      <c r="M13" s="1392">
        <f t="shared" si="0"/>
        <v>0</v>
      </c>
      <c r="N13" s="1392">
        <f t="shared" si="0"/>
        <v>1492</v>
      </c>
      <c r="O13" s="1393">
        <f t="shared" si="0"/>
        <v>0</v>
      </c>
      <c r="P13" s="1393">
        <f t="shared" si="0"/>
        <v>0</v>
      </c>
      <c r="Q13" s="1392">
        <f t="shared" si="0"/>
        <v>2782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205</v>
      </c>
      <c r="AC13" s="1392">
        <f t="shared" si="1"/>
        <v>2294</v>
      </c>
      <c r="AD13" s="1392">
        <f t="shared" si="1"/>
        <v>0</v>
      </c>
      <c r="AE13" s="1392">
        <f t="shared" si="1"/>
        <v>0</v>
      </c>
      <c r="AF13" s="1392">
        <f t="shared" si="1"/>
        <v>367</v>
      </c>
      <c r="AG13" s="1392">
        <f t="shared" si="1"/>
        <v>0</v>
      </c>
      <c r="AH13" s="1392">
        <f t="shared" si="1"/>
        <v>1153</v>
      </c>
      <c r="AI13" s="1392">
        <f t="shared" si="1"/>
        <v>0</v>
      </c>
      <c r="AJ13" s="1392">
        <f t="shared" si="1"/>
        <v>0</v>
      </c>
      <c r="AK13" s="1392">
        <f t="shared" si="1"/>
        <v>0</v>
      </c>
      <c r="AL13" s="1392">
        <f t="shared" si="1"/>
        <v>0</v>
      </c>
      <c r="AM13" s="1392">
        <f t="shared" si="1"/>
        <v>35037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4004</v>
      </c>
      <c r="BD13" s="1392">
        <f t="shared" si="1"/>
        <v>6593</v>
      </c>
      <c r="BE13" s="1392">
        <f t="shared" si="1"/>
        <v>0</v>
      </c>
      <c r="BF13" s="1392">
        <f t="shared" si="1"/>
        <v>0</v>
      </c>
      <c r="BG13" s="1392">
        <f>IF(ISNUMBER(Datos!K13/Datos!J13),Datos!K13/Datos!J13," - ")</f>
        <v>0.99402628434886497</v>
      </c>
      <c r="BH13" s="1396">
        <f>IF(ISNUMBER(((Datos!L13/Datos!K13)*11)/factor_trimestre),((Datos!L13/Datos!K13)*11)/factor_trimestre," - ")</f>
        <v>9.0560096153846157</v>
      </c>
      <c r="BI13" s="1392">
        <f>IF(ISNUMBER('Resol  Asuntos'!D13/NºAsuntos!G13),'Resol  Asuntos'!D13/NºAsuntos!G13," - ")</f>
        <v>0.28553091349925125</v>
      </c>
      <c r="BJ13" s="1392" t="str">
        <f>IF(ISNUMBER(Datos!CI13/Datos!CJ13),Datos!CI13/Datos!CJ13," - ")</f>
        <v xml:space="preserve"> - </v>
      </c>
      <c r="BK13" s="1392">
        <f>SUBTOTAL(9,BK8:BK12)</f>
        <v>0</v>
      </c>
      <c r="BL13" s="1392">
        <f>IF(ISNUMBER((I13-AB13+L13)/(F13)),(I13-AB13+L13)/(F13)," - ")</f>
        <v>-0.55107526881720426</v>
      </c>
      <c r="BM13" s="1397">
        <f>SUBTOTAL(9,BM9:BM12)</f>
        <v>-3.0555559400267222E-2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21</v>
      </c>
      <c r="B15" s="1331" t="s">
        <v>397</v>
      </c>
      <c r="C15" s="1337" t="str">
        <f>Datos!A15</f>
        <v xml:space="preserve">Seccion Instruccion Del T.I.                   </v>
      </c>
      <c r="D15" s="1338"/>
      <c r="E15" s="1435">
        <f>IF(ISNUMBER(Datos!AQ15),Datos!AQ15," - ")</f>
        <v>21</v>
      </c>
      <c r="F15" s="1332">
        <f>IF(ISNUMBER(AF15+AB15-Datos!J15-L15),AF15+AB15-Datos!J15-L15," - ")</f>
        <v>13912</v>
      </c>
      <c r="G15" s="1335">
        <f>IF(ISNUMBER(IF(D_I="SI",Datos!I15,Datos!I15+Datos!AC15)),IF(D_I="SI",Datos!I15,Datos!I15+Datos!AC15)," - ")</f>
        <v>13738</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769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14937</v>
      </c>
      <c r="AC15" s="1215">
        <f>IF(ISNUMBER(Datos!Q15),Datos!Q15," - ")</f>
        <v>865</v>
      </c>
      <c r="AD15" s="1247"/>
      <c r="AE15" s="1262"/>
      <c r="AF15" s="1333">
        <f>IF(ISNUMBER(IF(D_I="SI",Datos!L15,Datos!L15+Datos!AF15)),IF(D_I="SI",Datos!L15,Datos!L15+Datos!AF15)," - ")</f>
        <v>13562</v>
      </c>
      <c r="AG15" s="1247"/>
      <c r="AH15" s="1247"/>
      <c r="AI15" s="1247"/>
      <c r="AJ15" s="1247"/>
      <c r="AK15" s="1247"/>
      <c r="AL15" s="1258"/>
      <c r="AM15" s="1248">
        <f>IF(ISNUMBER(Datos!R15),Datos!R15," - ")</f>
        <v>1958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1947</v>
      </c>
      <c r="BD15" s="1218">
        <f>IF(ISNUMBER(Datos!N15),Datos!N15," - ")</f>
        <v>9314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1.0239939672310963</v>
      </c>
      <c r="BH15" s="1226">
        <f>IF(ISNUMBER(((IF(D_I="SI",Datos!L15/Datos!K15,(Datos!L15+Datos!AF15)/(Datos!K15+Datos!AE15)))*11)/factor_trimestre),((IF(D_I="SI",Datos!L15/Datos!K15,(Datos!L15+Datos!AF15)/(Datos!K15+Datos!AE15)))*11)/factor_trimestre," - ")</f>
        <v>2.7238401285398677</v>
      </c>
      <c r="BI15" s="1223">
        <f>IF(ISNUMBER('Resol  Asuntos'!D15/NºAsuntos!G15),'Resol  Asuntos'!D15/NºAsuntos!G15," - ")</f>
        <v>0.13034745932918257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6</v>
      </c>
      <c r="B18" s="1280" t="s">
        <v>397</v>
      </c>
      <c r="C18" s="1193" t="str">
        <f>Datos!A18</f>
        <v>Sección De Violencia sobre la Mujer del TI</v>
      </c>
      <c r="D18" s="1281"/>
      <c r="E18" s="1420">
        <f>IF(ISNUMBER(Datos!AQ18),Datos!AQ18," - ")</f>
        <v>6</v>
      </c>
      <c r="F18" s="1214" t="str">
        <f>IF(ISNUMBER(AF18+AB18-I18-L18),AF18+AB18-I18-L18," - ")</f>
        <v xml:space="preserve"> - </v>
      </c>
      <c r="G18" s="1246">
        <f>IF(ISNUMBER(IF(D_I="SI",Datos!I18,Datos!I18+Datos!AC18)),IF(D_I="SI",Datos!I18,Datos!I18+Datos!AC18)," - ")</f>
        <v>1385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27</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1847</v>
      </c>
      <c r="AC18" s="1215">
        <f>IF(ISNUMBER(Datos!Q18),Datos!Q18," - ")</f>
        <v>26</v>
      </c>
      <c r="AD18" s="1247"/>
      <c r="AE18" s="1262"/>
      <c r="AF18" s="1245">
        <f>IF(ISNUMBER(Datos!L18),Datos!L18,"-")</f>
        <v>1470</v>
      </c>
      <c r="AG18" s="1247"/>
      <c r="AH18" s="1247"/>
      <c r="AI18" s="1247"/>
      <c r="AJ18" s="1247"/>
      <c r="AK18" s="1247"/>
      <c r="AL18" s="1258"/>
      <c r="AM18" s="1248">
        <f>IF(ISNUMBER(Datos!R18),Datos!R18," - ")</f>
        <v>37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96</v>
      </c>
      <c r="BD18" s="1218">
        <f>IF(ISNUMBER(Datos!N18),Datos!N18," - ")</f>
        <v>1256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0.92119700748129674</v>
      </c>
      <c r="BH18" s="1226">
        <f>IF(ISNUMBER(((IF(D_I="SI",Datos!L18/Datos!K18,(Datos!L18+Datos!AF18)/(Datos!K18+Datos!AE18)))*11)/factor_trimestre),((IF(D_I="SI",Datos!L18/Datos!K18,(Datos!L18+Datos!AF18)/(Datos!K18+Datos!AE18)))*11)/factor_trimestre," - ")</f>
        <v>2.3876556578234975</v>
      </c>
      <c r="BI18" s="1223">
        <f>IF(ISNUMBER('Resol  Asuntos'!D18/NºAsuntos!G18),'Resol  Asuntos'!D18/NºAsuntos!G18," - ")</f>
        <v>5.1976177585273418E-2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27</v>
      </c>
      <c r="F19" s="1391">
        <f>SUBTOTAL(9,F15:F18)</f>
        <v>13912</v>
      </c>
      <c r="G19" s="1391">
        <f>SUBTOTAL(9,G15:G18)</f>
        <v>15123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796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16784</v>
      </c>
      <c r="AC19" s="1392">
        <f t="shared" si="4"/>
        <v>891</v>
      </c>
      <c r="AD19" s="1392">
        <f t="shared" si="4"/>
        <v>0</v>
      </c>
      <c r="AE19" s="1392">
        <f t="shared" si="4"/>
        <v>0</v>
      </c>
      <c r="AF19" s="1392">
        <f t="shared" si="4"/>
        <v>15032</v>
      </c>
      <c r="AG19" s="1392">
        <f t="shared" si="4"/>
        <v>0</v>
      </c>
      <c r="AH19" s="1392">
        <f t="shared" si="4"/>
        <v>0</v>
      </c>
      <c r="AI19" s="1392">
        <f t="shared" si="4"/>
        <v>0</v>
      </c>
      <c r="AJ19" s="1392">
        <f t="shared" si="4"/>
        <v>0</v>
      </c>
      <c r="AK19" s="1392">
        <f t="shared" si="4"/>
        <v>0</v>
      </c>
      <c r="AL19" s="1392">
        <f t="shared" si="4"/>
        <v>0</v>
      </c>
      <c r="AM19" s="1392">
        <f t="shared" si="4"/>
        <v>1995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2043</v>
      </c>
      <c r="BD19" s="1392">
        <f t="shared" si="4"/>
        <v>10570</v>
      </c>
      <c r="BE19" s="1392">
        <f t="shared" si="4"/>
        <v>0</v>
      </c>
      <c r="BF19" s="1392">
        <f t="shared" si="4"/>
        <v>0</v>
      </c>
      <c r="BG19" s="1392">
        <f>IF(ISNUMBER(Datos!K19/Datos!J19),Datos!K19/Datos!J19," - ")</f>
        <v>1.0115718418514947</v>
      </c>
      <c r="BH19" s="1396">
        <f>IF(ISNUMBER(((Datos!L19/Datos!K19)*11)/factor_trimestre),((Datos!L19/Datos!K19)*11)/factor_trimestre," - ")</f>
        <v>2.6868446139180175</v>
      </c>
      <c r="BI19" s="1392">
        <f>SUBTOTAL(9,BI15:BI18)</f>
        <v>0.18232363691445599</v>
      </c>
      <c r="BJ19" s="1392">
        <f>SUBTOTAL(9,BJ15:BJ18)</f>
        <v>0</v>
      </c>
      <c r="BK19" s="1392">
        <f>SUBTOTAL(9,BK15:BK18)</f>
        <v>0</v>
      </c>
      <c r="BL19" s="1392">
        <f>IF(ISNUMBER((I19-AB19+L19)/(F19)),(I19-AB19+L19)/(F19)," - ")</f>
        <v>-1.2064404830362276</v>
      </c>
      <c r="BM19" s="1398">
        <f>IF(ISNUMBER((Datos!P19-Datos!Q19)/(Datos!R19-Datos!P19+Datos!Q19)),(Datos!P19-Datos!Q19)/(Datos!R19-Datos!P19+Datos!Q19)," - ")</f>
        <v>-4.5454545454545456E-2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63</v>
      </c>
      <c r="F20" s="1367">
        <f t="shared" si="6"/>
        <v>14284</v>
      </c>
      <c r="G20" s="1367">
        <f t="shared" si="6"/>
        <v>15495</v>
      </c>
      <c r="H20" s="1369">
        <f t="shared" si="6"/>
        <v>0</v>
      </c>
      <c r="I20" s="1367">
        <f t="shared" si="6"/>
        <v>0</v>
      </c>
      <c r="J20" s="1369">
        <f t="shared" si="6"/>
        <v>0</v>
      </c>
      <c r="K20" s="1369">
        <f t="shared" si="6"/>
        <v>0</v>
      </c>
      <c r="L20" s="1386">
        <f t="shared" si="6"/>
        <v>0</v>
      </c>
      <c r="M20" s="1386">
        <f t="shared" si="6"/>
        <v>0</v>
      </c>
      <c r="N20" s="1386">
        <f t="shared" si="6"/>
        <v>1492</v>
      </c>
      <c r="O20" s="1386">
        <f t="shared" si="6"/>
        <v>0</v>
      </c>
      <c r="P20" s="1386">
        <f t="shared" si="6"/>
        <v>0</v>
      </c>
      <c r="Q20" s="1369">
        <f t="shared" si="6"/>
        <v>3578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16989</v>
      </c>
      <c r="AC20" s="1368">
        <f t="shared" si="7"/>
        <v>3185</v>
      </c>
      <c r="AD20" s="1368">
        <f t="shared" si="7"/>
        <v>0</v>
      </c>
      <c r="AE20" s="1368">
        <f t="shared" si="7"/>
        <v>0</v>
      </c>
      <c r="AF20" s="1371">
        <f t="shared" si="7"/>
        <v>15399</v>
      </c>
      <c r="AG20" s="1371">
        <f t="shared" si="7"/>
        <v>0</v>
      </c>
      <c r="AH20" s="1371">
        <f t="shared" si="7"/>
        <v>1153</v>
      </c>
      <c r="AI20" s="1371">
        <f t="shared" si="7"/>
        <v>0</v>
      </c>
      <c r="AJ20" s="1368">
        <f t="shared" si="7"/>
        <v>0</v>
      </c>
      <c r="AK20" s="1371">
        <f t="shared" si="7"/>
        <v>0</v>
      </c>
      <c r="AL20" s="1371">
        <f t="shared" si="7"/>
        <v>0</v>
      </c>
      <c r="AM20" s="1371">
        <f t="shared" si="7"/>
        <v>37032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6047</v>
      </c>
      <c r="BD20" s="1367">
        <f t="shared" si="7"/>
        <v>17163</v>
      </c>
      <c r="BE20" s="1367">
        <f t="shared" si="7"/>
        <v>0</v>
      </c>
      <c r="BF20" s="1373">
        <f t="shared" si="7"/>
        <v>0</v>
      </c>
      <c r="BG20" s="1404">
        <f>IF(ISNUMBER(Datos!K20/Datos!J20),Datos!K20/Datos!J20," - ")</f>
        <v>1.0040141352454799</v>
      </c>
      <c r="BH20" s="1404">
        <f>IF(ISNUMBER(((Datos!L20/Datos!K20)*11)/factor_trimestre),((Datos!L20/Datos!K20)*11)/factor_trimestre," - ")</f>
        <v>5.4030549480590482</v>
      </c>
      <c r="BI20" s="1362">
        <f>IF(ISNUMBER(Datos!J20/Datos!I20),Datos!J20/Datos!I20," - ")</f>
        <v>0.55514922956783419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-1.1893727247269672</v>
      </c>
      <c r="BM20" s="1387">
        <f>IF(ISNUMBER((Datos!P20-Datos!Q20+R20)/(Datos!R20-Datos!P20+Datos!Q20-R20)),(Datos!P20-Datos!Q20+R20)/(Datos!R20-Datos!P20+Datos!Q20-R20)," - ")</f>
        <v>1.0726275280438877E-2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13.175735273600484</v>
      </c>
      <c r="F22" s="1298">
        <f>IF(ISNUMBER(STDEV(F8:F19)),STDEV(F8:F19),"-")</f>
        <v>7817.3226448275327</v>
      </c>
      <c r="G22" s="1299">
        <f>IF(ISNUMBER(STDEV(G8:G19)),STDEV(G8:G19),"-")</f>
        <v>7542.4920616464688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8327.8326592217254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1595.4246784984571</v>
      </c>
      <c r="BD22" s="1298"/>
      <c r="BE22" s="1298">
        <f>IF(ISNUMBER(STDEV(BE8:BE19)),STDEV(BE8:BE19),"-")</f>
        <v>0</v>
      </c>
      <c r="BF22" s="1303">
        <f>IF(ISNUMBER(STDEV(BF8:BF19)),STDEV(BF8:BF19),"-")</f>
        <v>0</v>
      </c>
      <c r="BG22" s="1360">
        <f>IF(ISNUMBER(STDEV(BG8:BG19)),STDEV(BG8:BG19),"-")</f>
        <v>3.7169849940968377E-2</v>
      </c>
      <c r="BH22" s="1361">
        <f>IF(ISNUMBER(STDEV(BH8:BH19)),STDEV(BH8:BH19),"-")</f>
        <v>3.233581005052601</v>
      </c>
      <c r="BI22" s="1224">
        <f>IF(ISNUMBER(STDEV(BI8:BI19)),STDEV(BI8:BI19),"-")</f>
        <v>9.7943649635978694E-2</v>
      </c>
      <c r="BJ22" s="1219" t="str">
        <f>IF(ISNUMBER(BL22/BM22),BL22/BM22," - ")</f>
        <v xml:space="preserve"> - </v>
      </c>
      <c r="BK22" s="1320"/>
      <c r="BL22" s="1306">
        <f>IF(ISNUMBER(STDEV(BL8:BL19)),STDEV(BL8:BL19),"-")</f>
        <v>0.46341318712804597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iw4Fl7fyYkIVPktdoMv+HflywwjF8MF1lSmy4zhbdd4WBvOGMlm3/jVfYFa9uhZ1tb2PYirtS2EDQqPBmFd/g==" saltValue="WEXYOXZPyp9kNn8Hz7ixy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VALENCIA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24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2572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2063</v>
      </c>
      <c r="AA9" s="331" t="str">
        <f>IF(ISNUMBER(IF(J_V="SI",Datos!L9,Datos!L9+Datos!AB9)-IF(Monitorios="SI",Datos!CD9,0)),
                          IF(J_V="SI",Datos!L9,Datos!L9+Datos!AB9)-IF(Monitorios="SI",Datos!CD9,0),
                          " - ")</f>
        <v xml:space="preserve"> - </v>
      </c>
      <c r="AB9" s="333"/>
      <c r="AC9" s="333"/>
      <c r="AD9" s="483"/>
      <c r="AE9" s="483">
        <f>IF(ISNUMBER(Datos!R9),Datos!R9," - ")</f>
        <v>33122</v>
      </c>
      <c r="AF9" s="228" t="str">
        <f>IF(ISNUMBER(Datos!BV9),Datos!BV9," - ")</f>
        <v xml:space="preserve"> - </v>
      </c>
      <c r="AG9" s="224" t="str">
        <f>IF(ISNUMBER(Datos!DV9),Datos!DV9," - ")</f>
        <v xml:space="preserve"> - </v>
      </c>
      <c r="AH9" s="297"/>
      <c r="AI9" s="226"/>
      <c r="AJ9" s="224">
        <f>IF(ISNUMBER(Datos!M9),Datos!M9," - ")</f>
        <v>3454</v>
      </c>
      <c r="AK9" s="228">
        <f>IF(ISNUMBER(Datos!N9),Datos!N9," - ")</f>
        <v>5183</v>
      </c>
      <c r="AL9" s="228" t="str">
        <f>IF(ISNUMBER(Datos!BW9),Datos!BW9," - ")</f>
        <v xml:space="preserve"> - </v>
      </c>
      <c r="AM9" s="227" t="str">
        <f>IF(ISNUMBER(Datos!BX9),Datos!BX9," - ")</f>
        <v xml:space="preserve"> - </v>
      </c>
      <c r="AN9" s="242"/>
      <c r="AO9" s="259">
        <f>IF(ISNUMBER(((NºAsuntos!I9/NºAsuntos!G9)*11)/factor_trimestre),((NºAsuntos!I9/NºAsuntos!G9)*11)/factor_trimestre," - ")</f>
        <v>9.5500690607734793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1.560727317327446E-2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6</v>
      </c>
      <c r="B10" s="506" t="s">
        <v>247</v>
      </c>
      <c r="C10" s="7" t="str">
        <f>Datos!A10</f>
        <v>Sección De Violencia sobre la Mujer del TI</v>
      </c>
      <c r="D10" s="507"/>
      <c r="E10" s="1163">
        <f>IF(ISNUMBER(Datos!AQ10),Datos!AQ10," - ")</f>
        <v>6</v>
      </c>
      <c r="F10" s="224">
        <f>IF(ISNUMBER(Datos!L10+Datos!K10-Datos!J10),Datos!L10+Datos!K10-Datos!J10," - ")</f>
        <v>372</v>
      </c>
      <c r="G10" s="224">
        <f>IF(ISNUMBER(Datos!I10),Datos!I10," - ")</f>
        <v>372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205</v>
      </c>
      <c r="Z10" s="617">
        <f>IF(ISNUMBER(Datos!Q10),Datos!Q10," - ")</f>
        <v>41</v>
      </c>
      <c r="AA10" s="331">
        <f>IF(ISNUMBER(Datos!L10),Datos!L10,"-")</f>
        <v>367</v>
      </c>
      <c r="AB10" s="333"/>
      <c r="AC10" s="333"/>
      <c r="AD10" s="483"/>
      <c r="AE10" s="483">
        <f>IF(ISNUMBER(Datos!R10),Datos!R10," - ")</f>
        <v>263</v>
      </c>
      <c r="AF10" s="228" t="str">
        <f>IF(ISNUMBER(Datos!BV10),Datos!BV10," - ")</f>
        <v xml:space="preserve"> - </v>
      </c>
      <c r="AG10" s="224" t="str">
        <f>IF(ISNUMBER(Datos!DV10),Datos!DV10," - ")</f>
        <v xml:space="preserve"> - </v>
      </c>
      <c r="AH10" s="297"/>
      <c r="AI10" s="226"/>
      <c r="AJ10" s="224">
        <f>IF(ISNUMBER(Datos!M10),Datos!M10," - ")</f>
        <v>75</v>
      </c>
      <c r="AK10" s="228">
        <f>IF(ISNUMBER(Datos!N10),Datos!N10," - ")</f>
        <v>93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5.3707317073170735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-4.0145985401459854E-2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7</v>
      </c>
      <c r="B11" s="506" t="s">
        <v>247</v>
      </c>
      <c r="C11" s="7" t="str">
        <f>Datos!A11</f>
        <v xml:space="preserve">Sección de Familia, infancia e incapacidad del TI                           </v>
      </c>
      <c r="D11" s="507"/>
      <c r="E11" s="1163">
        <f>IF(ISNUMBER(Datos!AQ11),Datos!AQ11," - ")</f>
        <v>6</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180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190</v>
      </c>
      <c r="AA11" s="331" t="str">
        <f>IF(ISNUMBER(IF(J_V="SI",Datos!L11,Datos!L11+Datos!AB11)-IF(Monitorios="SI",Datos!CD11,0)),
                          IF(J_V="SI",Datos!L11,Datos!L11+Datos!AB11)-IF(Monitorios="SI",Datos!CD11,0),
                          " - ")</f>
        <v xml:space="preserve"> - </v>
      </c>
      <c r="AB11" s="333"/>
      <c r="AC11" s="333"/>
      <c r="AD11" s="483"/>
      <c r="AE11" s="483">
        <f>IF(ISNUMBER(Datos!R11),Datos!R11," - ")</f>
        <v>1652</v>
      </c>
      <c r="AF11" s="228" t="str">
        <f>IF(ISNUMBER(Datos!BV11),Datos!BV11," - ")</f>
        <v xml:space="preserve"> - </v>
      </c>
      <c r="AG11" s="224" t="str">
        <f>IF(ISNUMBER(Datos!DV11),Datos!DV11," - ")</f>
        <v xml:space="preserve"> - </v>
      </c>
      <c r="AH11" s="297"/>
      <c r="AI11" s="226"/>
      <c r="AJ11" s="224">
        <f>IF(ISNUMBER(Datos!M11),Datos!M11," - ")</f>
        <v>475</v>
      </c>
      <c r="AK11" s="228">
        <f>IF(ISNUMBER(Datos!N11),Datos!N11," - ")</f>
        <v>1317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2.1257833482542523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-6.0168471720818293E-3</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36</v>
      </c>
      <c r="F13" s="895">
        <f>SUBTOTAL(9,F8:F12)</f>
        <v>372</v>
      </c>
      <c r="G13" s="895">
        <f>SUBTOTAL(9,G8:G12)</f>
        <v>372</v>
      </c>
      <c r="H13" s="905"/>
      <c r="I13" s="895">
        <f t="shared" ref="I13:N13" si="0">SUBTOTAL(9,I8:I12)</f>
        <v>0</v>
      </c>
      <c r="J13" s="864">
        <f t="shared" si="0"/>
        <v>0</v>
      </c>
      <c r="K13" s="905">
        <f t="shared" si="0"/>
        <v>0</v>
      </c>
      <c r="L13" s="905">
        <f t="shared" si="0"/>
        <v>0</v>
      </c>
      <c r="M13" s="905">
        <f t="shared" si="0"/>
        <v>0</v>
      </c>
      <c r="N13" s="905">
        <f t="shared" si="0"/>
        <v>2782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205</v>
      </c>
      <c r="Z13" s="904">
        <f t="shared" si="2"/>
        <v>2294</v>
      </c>
      <c r="AA13" s="897">
        <f t="shared" si="2"/>
        <v>367</v>
      </c>
      <c r="AB13" s="897">
        <f t="shared" si="2"/>
        <v>0</v>
      </c>
      <c r="AC13" s="897">
        <f t="shared" si="2"/>
        <v>0</v>
      </c>
      <c r="AD13" s="897">
        <f t="shared" si="2"/>
        <v>0</v>
      </c>
      <c r="AE13" s="897">
        <f t="shared" si="2"/>
        <v>35037</v>
      </c>
      <c r="AF13" s="905">
        <f t="shared" si="2"/>
        <v>0</v>
      </c>
      <c r="AG13" s="905">
        <f t="shared" si="2"/>
        <v>0</v>
      </c>
      <c r="AH13" s="905">
        <f t="shared" si="2"/>
        <v>0</v>
      </c>
      <c r="AI13" s="905">
        <f t="shared" si="2"/>
        <v>0</v>
      </c>
      <c r="AJ13" s="905">
        <f t="shared" si="2"/>
        <v>4004</v>
      </c>
      <c r="AK13" s="905">
        <f t="shared" si="2"/>
        <v>6593</v>
      </c>
      <c r="AL13" s="905">
        <f t="shared" si="2"/>
        <v>0</v>
      </c>
      <c r="AM13" s="905">
        <f t="shared" si="2"/>
        <v>0</v>
      </c>
      <c r="AN13" s="905">
        <f t="shared" si="2"/>
        <v>0</v>
      </c>
      <c r="AO13" s="901">
        <f>IF(ISNUMBER(((NºAsuntos!I13/NºAsuntos!G13)*11)/factor_trimestre),((NºAsuntos!I13/NºAsuntos!G13)*11)/factor_trimestre," - ")</f>
        <v>8.3062112244170301</v>
      </c>
      <c r="AP13" s="907" t="str">
        <f>IF(ISNUMBER(Datos!CI13/Datos!CJ13),Datos!CI13/Datos!CJ13," - ")</f>
        <v xml:space="preserve"> - </v>
      </c>
      <c r="AQ13" s="923">
        <f t="shared" ref="AQ13:AV13" si="3">SUBTOTAL(9,AQ9:AQ12)</f>
        <v>0</v>
      </c>
      <c r="AR13" s="923">
        <f t="shared" si="3"/>
        <v>-3.0555559400267222E-2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21</v>
      </c>
      <c r="B15" s="506" t="s">
        <v>397</v>
      </c>
      <c r="C15" s="159" t="str">
        <f>Datos!A15</f>
        <v xml:space="preserve">Seccion Instruccion Del T.I.                   </v>
      </c>
      <c r="D15" s="501"/>
      <c r="E15" s="1163">
        <f>IF(ISNUMBER(Datos!AQ15),Datos!AQ15," - ")</f>
        <v>21</v>
      </c>
      <c r="F15" s="332">
        <f>IF(ISNUMBER(AA15+Y15-Datos!J15-K15),AA15+Y15-Datos!J15-K15," - ")</f>
        <v>13912</v>
      </c>
      <c r="G15" s="224">
        <f>IF(ISNUMBER(IF(D_I="SI",Datos!I15,Datos!I15+Datos!AC15)),IF(D_I="SI",Datos!I15,Datos!I15+Datos!AC15)," - ")</f>
        <v>13738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769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14937</v>
      </c>
      <c r="Z15" s="617">
        <f>IF(ISNUMBER(Datos!Q15),Datos!Q15," - ")</f>
        <v>865</v>
      </c>
      <c r="AA15" s="331">
        <f>IF(ISNUMBER(IF(D_I="SI",Datos!L15,Datos!L15+Datos!AF15)),IF(D_I="SI",Datos!L15,Datos!L15+Datos!AF15)," - ")</f>
        <v>13562</v>
      </c>
      <c r="AB15" s="333"/>
      <c r="AC15" s="333"/>
      <c r="AD15" s="483"/>
      <c r="AE15" s="483">
        <f>IF(ISNUMBER(Datos!R15),Datos!R15," - ")</f>
        <v>1958</v>
      </c>
      <c r="AF15" s="228" t="str">
        <f>IF(ISNUMBER(Datos!BV15),Datos!BV15," - ")</f>
        <v xml:space="preserve"> - </v>
      </c>
      <c r="AG15" s="224"/>
      <c r="AH15" s="297"/>
      <c r="AI15" s="226"/>
      <c r="AJ15" s="224">
        <f>IF(ISNUMBER(Datos!M15),Datos!M15," - ")</f>
        <v>1947</v>
      </c>
      <c r="AK15" s="228">
        <f>IF(ISNUMBER(Datos!N15),Datos!N15," - ")</f>
        <v>9314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2.7238401285398677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6</v>
      </c>
      <c r="B18" s="506" t="s">
        <v>397</v>
      </c>
      <c r="C18" s="7" t="str">
        <f>Datos!A18</f>
        <v>Sección De Violencia sobre la Mujer del TI</v>
      </c>
      <c r="D18" s="507"/>
      <c r="E18" s="1163">
        <f>IF(ISNUMBER(Datos!AQ18),Datos!AQ18," - ")</f>
        <v>6</v>
      </c>
      <c r="F18" s="224" t="str">
        <f>IF(ISNUMBER(AA18+Y18-I18-K18),AA18+Y18-I18-K18," - ")</f>
        <v xml:space="preserve"> - </v>
      </c>
      <c r="G18" s="522">
        <f>IF(ISNUMBER(IF(D_I="SI",Datos!I18,Datos!I18+Datos!AC18)),IF(D_I="SI",Datos!I18,Datos!I18+Datos!AC18)," - ")</f>
        <v>1385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27</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1847</v>
      </c>
      <c r="Z18" s="617">
        <f>IF(ISNUMBER(Datos!Q18),Datos!Q18," - ")</f>
        <v>26</v>
      </c>
      <c r="AA18" s="331">
        <f>IF(ISNUMBER(Datos!L18),Datos!L18,"-")</f>
        <v>1470</v>
      </c>
      <c r="AB18" s="333"/>
      <c r="AC18" s="333"/>
      <c r="AD18" s="483"/>
      <c r="AE18" s="483">
        <f>IF(ISNUMBER(Datos!R18),Datos!R18," - ")</f>
        <v>37</v>
      </c>
      <c r="AF18" s="228" t="str">
        <f>IF(ISNUMBER(Datos!BV18),Datos!BV18," - ")</f>
        <v xml:space="preserve"> - </v>
      </c>
      <c r="AG18" s="224" t="str">
        <f>IF(ISNUMBER(Datos!DV18),Datos!DV18," - ")</f>
        <v xml:space="preserve"> - </v>
      </c>
      <c r="AH18" s="297"/>
      <c r="AI18" s="226"/>
      <c r="AJ18" s="224">
        <f>IF(ISNUMBER(Datos!M18),Datos!M18," - ")</f>
        <v>96</v>
      </c>
      <c r="AK18" s="228">
        <f>IF(ISNUMBER(Datos!N18),Datos!N18," - ")</f>
        <v>1256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2.3876556578234975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27</v>
      </c>
      <c r="F19" s="895">
        <f>SUBTOTAL(9,F15:F18)</f>
        <v>13912</v>
      </c>
      <c r="G19" s="895">
        <f>SUBTOTAL(9,G15:G18)</f>
        <v>15123</v>
      </c>
      <c r="H19" s="927">
        <f>SUBTOTAL(9,H15:H18)</f>
        <v>0</v>
      </c>
      <c r="I19" s="908">
        <f>SUBTOTAL(9,I15:I18)</f>
        <v>0</v>
      </c>
      <c r="J19" s="864">
        <f>SUBTOTAL(9,J14:J18)</f>
        <v>0</v>
      </c>
      <c r="K19" s="927">
        <f t="shared" ref="K19:S19" si="4">SUBTOTAL(9,K15:K18)</f>
        <v>0</v>
      </c>
      <c r="L19" s="927">
        <f t="shared" si="4"/>
        <v>0</v>
      </c>
      <c r="M19" s="927">
        <f t="shared" si="4"/>
        <v>0</v>
      </c>
      <c r="N19" s="927">
        <f t="shared" si="4"/>
        <v>796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16784</v>
      </c>
      <c r="Z19" s="927">
        <f t="shared" si="5"/>
        <v>891</v>
      </c>
      <c r="AA19" s="927">
        <f t="shared" si="5"/>
        <v>15032</v>
      </c>
      <c r="AB19" s="927">
        <f t="shared" si="5"/>
        <v>0</v>
      </c>
      <c r="AC19" s="927">
        <f t="shared" si="5"/>
        <v>0</v>
      </c>
      <c r="AD19" s="927">
        <f t="shared" si="5"/>
        <v>0</v>
      </c>
      <c r="AE19" s="927">
        <f t="shared" si="5"/>
        <v>1995</v>
      </c>
      <c r="AF19" s="927">
        <f t="shared" si="5"/>
        <v>0</v>
      </c>
      <c r="AG19" s="927">
        <f t="shared" si="5"/>
        <v>0</v>
      </c>
      <c r="AH19" s="927">
        <f t="shared" si="5"/>
        <v>0</v>
      </c>
      <c r="AI19" s="927">
        <f t="shared" si="5"/>
        <v>0</v>
      </c>
      <c r="AJ19" s="927">
        <f t="shared" si="5"/>
        <v>2043</v>
      </c>
      <c r="AK19" s="927">
        <f t="shared" si="5"/>
        <v>10570</v>
      </c>
      <c r="AL19" s="927">
        <f t="shared" si="5"/>
        <v>0</v>
      </c>
      <c r="AM19" s="927">
        <f t="shared" si="5"/>
        <v>0</v>
      </c>
      <c r="AN19" s="927">
        <f t="shared" si="5"/>
        <v>0</v>
      </c>
      <c r="AO19" s="929">
        <f>IF(ISNUMBER(((NºAsuntos!I19/NºAsuntos!G19)*11)/factor_trimestre),((NºAsuntos!I19/NºAsuntos!G19)*11)/factor_trimestre," - ")</f>
        <v>2.6868446139180175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63</v>
      </c>
      <c r="F20" s="817">
        <f t="shared" si="7"/>
        <v>14284</v>
      </c>
      <c r="G20" s="817">
        <f t="shared" si="7"/>
        <v>15495</v>
      </c>
      <c r="H20" s="818">
        <f t="shared" si="7"/>
        <v>0</v>
      </c>
      <c r="I20" s="817">
        <f t="shared" si="7"/>
        <v>0</v>
      </c>
      <c r="J20" s="819">
        <f t="shared" si="7"/>
        <v>0</v>
      </c>
      <c r="K20" s="817">
        <f t="shared" si="7"/>
        <v>0</v>
      </c>
      <c r="L20" s="820">
        <f t="shared" si="7"/>
        <v>0</v>
      </c>
      <c r="M20" s="817">
        <f t="shared" si="7"/>
        <v>0</v>
      </c>
      <c r="N20" s="818">
        <f t="shared" si="7"/>
        <v>3578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16989</v>
      </c>
      <c r="Z20" s="824">
        <f t="shared" si="8"/>
        <v>3185</v>
      </c>
      <c r="AA20" s="825">
        <f t="shared" si="8"/>
        <v>15399</v>
      </c>
      <c r="AB20" s="825">
        <f t="shared" si="8"/>
        <v>0</v>
      </c>
      <c r="AC20" s="825">
        <f t="shared" si="8"/>
        <v>0</v>
      </c>
      <c r="AD20" s="826">
        <f t="shared" si="8"/>
        <v>0</v>
      </c>
      <c r="AE20" s="826">
        <f t="shared" si="8"/>
        <v>37032</v>
      </c>
      <c r="AF20" s="827">
        <f t="shared" si="8"/>
        <v>0</v>
      </c>
      <c r="AG20" s="828">
        <f t="shared" si="8"/>
        <v>0</v>
      </c>
      <c r="AH20" s="829">
        <f t="shared" si="8"/>
        <v>0</v>
      </c>
      <c r="AI20" s="827">
        <f t="shared" si="8"/>
        <v>0</v>
      </c>
      <c r="AJ20" s="817">
        <f t="shared" si="8"/>
        <v>6047</v>
      </c>
      <c r="AK20" s="817">
        <f t="shared" si="8"/>
        <v>17163</v>
      </c>
      <c r="AL20" s="817">
        <f t="shared" si="8"/>
        <v>0</v>
      </c>
      <c r="AM20" s="830">
        <f t="shared" si="8"/>
        <v>0</v>
      </c>
      <c r="AN20" s="820">
        <f>IF(ISNUMBER(Datos!K20/Datos!J20),Datos!K20/Datos!J20," - ")</f>
        <v>1.0040141352454799</v>
      </c>
      <c r="AO20" s="820">
        <f>IF(ISNUMBER(FIND("06",Criterios!A8,1)),(IF(ISNUMBER(((Datos!R20/Datos!Q20)*11)/factor_trimestre),((Datos!R20/Datos!Q20)*11)/factor_trimestre," - ")),(IF(ISNUMBER(((Datos!L20/Datos!K20)*11)/factor_trimestre),((Datos!L20/Datos!K20)*11)/factor_trimestre," - ")))</f>
        <v>5.4030549480590482</v>
      </c>
      <c r="AP20" s="831" t="str">
        <f>IF(ISNUMBER(Datos!CI20/Datos!CJ20),Datos!CI20/Datos!CJ20," - ")</f>
        <v xml:space="preserve"> - </v>
      </c>
      <c r="AQ20" s="831">
        <f>IF(OR(ISNUMBER(FIND("01",Criterios!A8,1)),ISNUMBER(FIND("02",Criterios!A8,1)),ISNUMBER(FIND("03",Criterios!A8,1)),ISNUMBER(FIND("04",Criterios!A8,1))),(J20-Y20+K20)/(F20-K20),(I20-Y20+K20)/(F20-K20))</f>
        <v>-1.1893727247269672</v>
      </c>
      <c r="AR20" s="831">
        <f>IF(ISNUMBER((Datos!P20-Datos!Q20+O20)/(Datos!R20-Datos!P20+Datos!Q20-O20)),(Datos!P20-Datos!Q20+O20)/(Datos!R20-Datos!P20+Datos!Q20-O20)," - ")</f>
        <v>1.0726275280438877E-2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7817.3226448275327</v>
      </c>
      <c r="G22" s="551">
        <f>IF(ISNUMBER(STDEV(G8:G19)),STDEV(G8:G19),"-")</f>
        <v>7542.4920616464688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1595.4246784984571</v>
      </c>
      <c r="AK22" s="251"/>
      <c r="AL22" s="251">
        <f>IF(ISNUMBER(STDEV(AL8:AL19)),STDEV(AL8:AL19),"-")</f>
        <v>0</v>
      </c>
      <c r="AM22" s="253">
        <f>IF(ISNUMBER(STDEV(AM8:AM19)),STDEV(AM8:AM19),"-")</f>
        <v>0</v>
      </c>
      <c r="AN22" s="538">
        <f>IF(ISNUMBER(STDEV(AN8:AN19)),STDEV(AN8:AN19),"-")</f>
        <v>0</v>
      </c>
      <c r="AO22" s="539">
        <f>IF(ISNUMBER(STDEV(AO8:AO19)),STDEV(AO8:AO19),"-")</f>
        <v>3.0795110706496822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m+zmJyyWXlnWQbkr1TSq4h/lYcFi5t714tyXk+eErpEUlxeQmL4KxM+MgD+0fXbrd6ezIqosJshQkm2/3wJ5A==" saltValue="cve/Syc8jalMSzDW+BJd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1SwEm61l8NJXAAkXtL33DLF6YGEzWEJw/3vvi6bNv1fi9jVC7LUe3AuU1lZmoJWSyMedYJ1Rq9+Xmxe28iXw==" saltValue="aB8Mf6wXw4Ey8Fl3ea69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EY2tLF1yQ/nAY6fvB9Oks5PFyy6j0Ph1E1KDKN5Wjyvo+/KaW9H+JpDg+9eOi+xXx2KkeJiuN0x8MYASVaQdA==" saltValue="+brtiOEGXgwKEtDSIVQV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VALENCIA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0.28553091349925125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0.2019008451737101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KPinhX87IxMY4yJ5u8x8Vh8ERfW3OmnDY1/FtV7dbaBQVwHOgsO2vqMpqj6NXD7/T3mnMtaJeCC90nRmPGneQ==" saltValue="6Mg/rxFoVjMH2LpV5/uJh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YExD4lKy85XoHxFW2RC8ywAx7hAuh3pIwhB1I0rIJoIpQso+hSM1+mupdWNGWNz1qjEwq+ESjBJXxL2z264Tw==" saltValue="hY0g8zDhaesEsB1MSD/w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VALENCIA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24</v>
      </c>
      <c r="C9" s="402">
        <f>IF(ISNUMBER(IF(J_V="SI",Datos!I9,Datos!I9+Datos!Y9)),IF(J_V="SI",Datos!I9,Datos!I9+Datos!Y9)," - ")</f>
        <v>36596</v>
      </c>
      <c r="D9" s="403">
        <f>IF(ISNUMBER(C9/Datos!BH9),C9/Datos!BH9," - ")</f>
        <v>1407.5384615384614</v>
      </c>
      <c r="E9" s="402">
        <f>IF(ISNUMBER(IF(J_V="SI",Datos!J9,Datos!J9+Datos!Z9)),IF(J_V="SI",Datos!J9,Datos!J9+Datos!Z9)," - ")</f>
        <v>11669</v>
      </c>
      <c r="F9" s="403">
        <f>IF(ISNUMBER(E9/B9),E9/B9," - ")</f>
        <v>486.20833333333331</v>
      </c>
      <c r="G9" s="402">
        <f>IF(ISNUMBER(IF(J_V="SI",Datos!K9,Datos!K9+Datos!AA9)),IF(J_V="SI",Datos!K9,Datos!K9+Datos!AA9)," - ")</f>
        <v>11584</v>
      </c>
      <c r="H9" s="403">
        <f>IF(ISNUMBER(G9/B9),G9/B9," - ")</f>
        <v>482.66666666666669</v>
      </c>
      <c r="I9" s="402">
        <f>IF(ISNUMBER(IF(J_V="SI",Datos!L9,Datos!L9+Datos!AB9)),IF(J_V="SI",Datos!L9,Datos!L9+Datos!AB9)," - ")</f>
        <v>36876</v>
      </c>
      <c r="J9" s="403">
        <f>IF(ISNUMBER(I9/B9),I9/B9," - ")</f>
        <v>1536.5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6</v>
      </c>
      <c r="C10" s="402">
        <f>IF(ISNUMBER(Datos!I10),Datos!I10," - ")</f>
        <v>372</v>
      </c>
      <c r="D10" s="403">
        <f>IF(ISNUMBER(C10/Datos!BH10),C10/Datos!BH10," - ")</f>
        <v>62</v>
      </c>
      <c r="E10" s="402">
        <f>IF(ISNUMBER(Datos!J10),Datos!J10," - ")</f>
        <v>200</v>
      </c>
      <c r="F10" s="403">
        <f>IF(ISNUMBER(E10/B10),E10/B10," - ")</f>
        <v>33.333333333333336</v>
      </c>
      <c r="G10" s="402">
        <f>IF(ISNUMBER(Datos!K10),Datos!K10," - ")</f>
        <v>205</v>
      </c>
      <c r="H10" s="403">
        <f>IF(ISNUMBER(G10/B10),G10/B10," - ")</f>
        <v>34.166666666666664</v>
      </c>
      <c r="I10" s="402">
        <f>IF(ISNUMBER(Datos!L10),Datos!L10," - ")</f>
        <v>367</v>
      </c>
      <c r="J10" s="403">
        <f>IF(ISNUMBER(I10/B10),I10/B10," - ")</f>
        <v>61.166666666666664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7</v>
      </c>
      <c r="C11" s="402">
        <f>IF(ISNUMBER(IF(J_V="SI",Datos!I11,Datos!I11+Datos!Y11)),IF(J_V="SI",Datos!I11,Datos!I11+Datos!Y11)," - ")</f>
        <v>1616</v>
      </c>
      <c r="D11" s="403">
        <f>IF(ISNUMBER(C11/Datos!BH11),C11/Datos!BH11," - ")</f>
        <v>146.90909090909091</v>
      </c>
      <c r="E11" s="402">
        <f>IF(ISNUMBER(IF(J_V="SI",Datos!J11,Datos!J11+Datos!Z11)),IF(J_V="SI",Datos!J11,Datos!J11+Datos!Z11)," - ")</f>
        <v>2178</v>
      </c>
      <c r="F11" s="403">
        <f>IF(ISNUMBER(E11/B11),E11/B11," - ")</f>
        <v>311.14285714285717</v>
      </c>
      <c r="G11" s="402">
        <f>IF(ISNUMBER(IF(J_V="SI",Datos!K11,Datos!K11+Datos!AA11)),IF(J_V="SI",Datos!K11,Datos!K11+Datos!AA11)," - ")</f>
        <v>2234</v>
      </c>
      <c r="H11" s="403">
        <f>IF(ISNUMBER(G11/B11),G11/B11," - ")</f>
        <v>319.14285714285717</v>
      </c>
      <c r="I11" s="402">
        <f>IF(ISNUMBER(IF(J_V="SI",Datos!L11,Datos!L11+Datos!AB11)),IF(J_V="SI",Datos!L11,Datos!L11+Datos!AB11)," - ")</f>
        <v>1583</v>
      </c>
      <c r="J11" s="403">
        <f>IF(ISNUMBER(I11/B11),I11/B11," - ")</f>
        <v>226.14285714285714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37</v>
      </c>
      <c r="C13" s="846">
        <f>SUBTOTAL(9,C8:C12)</f>
        <v>38584</v>
      </c>
      <c r="D13" s="847" t="str">
        <f>IF(ISNUMBER(C13/Datos!BI13),C13/Datos!BI13," - ")</f>
        <v xml:space="preserve"> - </v>
      </c>
      <c r="E13" s="846">
        <f>SUBTOTAL(9,E8:E12)</f>
        <v>14047</v>
      </c>
      <c r="F13" s="847">
        <f>IF(ISNUMBER(E13/B13),E13/B13," - ")</f>
        <v>379.64864864864865</v>
      </c>
      <c r="G13" s="846">
        <f>SUBTOTAL(9,G8:G12)</f>
        <v>14023</v>
      </c>
      <c r="H13" s="847">
        <f>IF(ISNUMBER(G13/B13),G13/B13," - ")</f>
        <v>379</v>
      </c>
      <c r="I13" s="846">
        <f>SUBTOTAL(9,I8:I12)</f>
        <v>38826</v>
      </c>
      <c r="J13" s="847">
        <f>IF(ISNUMBER(I13/B13),I13/B13," - ")</f>
        <v>1049.3513513513512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21</v>
      </c>
      <c r="C15" s="402">
        <f>IF(ISNUMBER(IF(D_I="SI",Datos!I15,Datos!I15+Datos!AC15)),IF(D_I="SI",Datos!I15,Datos!I15+Datos!AC15)," - ")</f>
        <v>13738</v>
      </c>
      <c r="D15" s="403">
        <f>IF(ISNUMBER(C15/Datos!BH15),C15/Datos!BH15," - ")</f>
        <v>654.19047619047615</v>
      </c>
      <c r="E15" s="402">
        <f>IF(ISNUMBER(IF(D_I="SI",Datos!J15,Datos!J15+Datos!AD15)),IF(D_I="SI",Datos!J15,Datos!J15+Datos!AD15)," - ")</f>
        <v>14587</v>
      </c>
      <c r="F15" s="403">
        <f>IF(ISNUMBER(E15/B15),E15/B15," - ")</f>
        <v>694.61904761904759</v>
      </c>
      <c r="G15" s="402">
        <f>IF(ISNUMBER(IF(D_I="SI",Datos!K15,Datos!K15+Datos!AE15)),IF(D_I="SI",Datos!K15,Datos!K15+Datos!AE15)," - ")</f>
        <v>14937</v>
      </c>
      <c r="H15" s="403">
        <f>IF(ISNUMBER(G15/B15),G15/B15," - ")</f>
        <v>711.28571428571433</v>
      </c>
      <c r="I15" s="402">
        <f>IF(ISNUMBER(IF(D_I="SI",Datos!L15,Datos!L15+Datos!AF15)),IF(D_I="SI",Datos!L15,Datos!L15+Datos!AF15)," - ")</f>
        <v>13562</v>
      </c>
      <c r="J15" s="403">
        <f>IF(ISNUMBER(I15/B15),I15/B15," - ")</f>
        <v>645.80952380952385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6</v>
      </c>
      <c r="C18" s="402">
        <f>IF(ISNUMBER(IF(D_I="SI",Datos!I18,Datos!I18+Datos!AC18)),IF(D_I="SI",Datos!I18,Datos!I18+Datos!AC18)," - ")</f>
        <v>1385</v>
      </c>
      <c r="D18" s="403">
        <f>IF(ISNUMBER(C18/Datos!BH18),C18/Datos!BH18," - ")</f>
        <v>230.83333333333334</v>
      </c>
      <c r="E18" s="402">
        <f>IF(ISNUMBER(IF(D_I="SI",Datos!J18,Datos!J18+Datos!AD18)),IF(D_I="SI",Datos!J18,Datos!J18+Datos!AD18)," - ")</f>
        <v>2005</v>
      </c>
      <c r="F18" s="403">
        <f>IF(ISNUMBER(E18/B18),E18/B18," - ")</f>
        <v>334.16666666666669</v>
      </c>
      <c r="G18" s="402">
        <f>IF(ISNUMBER(IF(D_I="SI",Datos!K18,Datos!K18+Datos!AE18)),IF(D_I="SI",Datos!K18,Datos!K18+Datos!AE18)," - ")</f>
        <v>1847</v>
      </c>
      <c r="H18" s="403">
        <f>IF(ISNUMBER(G18/B18),G18/B18," - ")</f>
        <v>307.83333333333331</v>
      </c>
      <c r="I18" s="402">
        <f>IF(ISNUMBER(IF(D_I="SI",Datos!L18,Datos!L18+Datos!AF18)),IF(D_I="SI",Datos!L18,Datos!L18+Datos!AF18)," - ")</f>
        <v>1470</v>
      </c>
      <c r="J18" s="403">
        <f>IF(ISNUMBER(I18/B18),I18/B18," - ")</f>
        <v>245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27</v>
      </c>
      <c r="C19" s="846">
        <f>SUBTOTAL(9,C14:C18)</f>
        <v>15123</v>
      </c>
      <c r="D19" s="847" t="str">
        <f>IF(ISNUMBER(C19/Datos!BI19),C19/Datos!BI19," - ")</f>
        <v xml:space="preserve"> - </v>
      </c>
      <c r="E19" s="846">
        <f>SUBTOTAL(9,E14:E18)</f>
        <v>16592</v>
      </c>
      <c r="F19" s="847">
        <f>IF(ISNUMBER(E19/B19),E19/B19," - ")</f>
        <v>614.51851851851848</v>
      </c>
      <c r="G19" s="846">
        <f>SUBTOTAL(9,G14:G18)</f>
        <v>16784</v>
      </c>
      <c r="H19" s="847">
        <f>IF(ISNUMBER(G19/B19),G19/B19," - ")</f>
        <v>621.62962962962968</v>
      </c>
      <c r="I19" s="846">
        <f>SUBTOTAL(9,I14:I18)</f>
        <v>15032</v>
      </c>
      <c r="J19" s="847">
        <f>IF(ISNUMBER(I19/B19),I19/B19," - ")</f>
        <v>556.74074074074076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58</v>
      </c>
      <c r="C20" s="791">
        <f>SUBTOTAL(9,C9:C19)</f>
        <v>53707</v>
      </c>
      <c r="D20" s="792" t="str">
        <f>IF(ISNUMBER(C20/Datos!BI20),C20/Datos!BI20," - ")</f>
        <v xml:space="preserve"> - </v>
      </c>
      <c r="E20" s="791">
        <f>SUBTOTAL(9,E9:E19)</f>
        <v>30639</v>
      </c>
      <c r="F20" s="792">
        <f>IF(ISNUMBER(E20/B20),E20/B20," - ")</f>
        <v>528.25862068965512</v>
      </c>
      <c r="G20" s="791">
        <f>SUBTOTAL(9,G9:G19)</f>
        <v>30807</v>
      </c>
      <c r="H20" s="792">
        <f>IF(ISNUMBER(G20/B20),G20/B20," - ")</f>
        <v>531.15517241379314</v>
      </c>
      <c r="I20" s="791">
        <f>SUBTOTAL(9,I9:I19)</f>
        <v>53858</v>
      </c>
      <c r="J20" s="792">
        <f>IF(ISNUMBER(I20/B20),I20/B20," - ")</f>
        <v>928.58620689655174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3A+jvWQ3ksffozcQpFV7yIrNDvQ3hHiM3s78Dvcd4yy48o6JsjHdxGDiKUHYZRmgSM1JLX5mp2CopQnhYYnBw==" saltValue="O+k0QRPF8VQuwxF9JZ7MF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VALENCIA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24</v>
      </c>
      <c r="B9" s="500" t="s">
        <v>247</v>
      </c>
      <c r="C9" s="159" t="str">
        <f>Datos!A9</f>
        <v>Sección Civil del T.I</v>
      </c>
      <c r="D9" s="501"/>
      <c r="E9" s="679">
        <f>IF(ISNUMBER(Datos!AQ9),Datos!AQ9," - ")</f>
        <v>24</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6</v>
      </c>
      <c r="B10" s="506" t="s">
        <v>247</v>
      </c>
      <c r="C10" s="7" t="str">
        <f>Datos!A10</f>
        <v>Sección De Violencia sobre la Mujer del TI</v>
      </c>
      <c r="D10" s="507"/>
      <c r="E10" s="679">
        <f>IF(ISNUMBER(Datos!AQ10),Datos!AQ10," - ")</f>
        <v>6</v>
      </c>
      <c r="F10" s="680">
        <f>IF(ISNUMBER(Datos!L10+Datos!K10-Datos!J10),Datos!L10+Datos!K10-Datos!J10," - ")</f>
        <v>372</v>
      </c>
      <c r="G10" s="681">
        <f>IF(ISNUMBER(Datos!I10),Datos!I10," - ")</f>
        <v>372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205</v>
      </c>
      <c r="AC10" s="680" t="str">
        <f>IF(ISNUMBER(IF(D_I="SI",DatosP!K18,DatosP!K18+DatosP!AE18)),IF(D_I="SI",DatosP!K18,DatosP!K18+DatosP!AE18)," - ")</f>
        <v xml:space="preserve"> - </v>
      </c>
      <c r="AD10" s="682"/>
      <c r="AE10" s="682"/>
      <c r="AF10" s="685">
        <f>IF(ISNUMBER(Datos!L10),Datos!L10,"-")</f>
        <v>367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75</v>
      </c>
      <c r="AM10" s="687">
        <f>IF(ISNUMBER(Datos!N10+DatosP!N18),Datos!N10+DatosP!N18," - ")</f>
        <v>93</v>
      </c>
      <c r="AN10" s="687">
        <f>IF(ISNUMBER(Datos!BW10+DatosP!BW18),Datos!BW10+DatosP!BW18," - ")</f>
        <v>0</v>
      </c>
      <c r="AO10" s="688">
        <f>IF(ISNUMBER(Datos!BX10+DatosP!BX18),Datos!BX10+DatosP!BX18," - ")</f>
        <v>0</v>
      </c>
      <c r="AP10" s="690">
        <f>IF(ISNUMBER(((Datos!L10/Datos!K10)*11)/factor_trimestre),((Datos!L10/Datos!K10)*11)/factor_trimestre," - ")</f>
        <v>5.3707317073170735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7</v>
      </c>
      <c r="B11" s="506" t="s">
        <v>247</v>
      </c>
      <c r="C11" s="7" t="str">
        <f>Datos!A11</f>
        <v xml:space="preserve">Sección de Familia, infancia e incapacidad del TI                           </v>
      </c>
      <c r="D11" s="507"/>
      <c r="E11" s="679">
        <f>IF(ISNUMBER(Datos!AQ11),Datos!AQ11," - ")</f>
        <v>6</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36</v>
      </c>
      <c r="F13" s="933">
        <f t="shared" si="0"/>
        <v>372</v>
      </c>
      <c r="G13" s="933">
        <f t="shared" si="0"/>
        <v>372</v>
      </c>
      <c r="H13" s="933">
        <f t="shared" si="0"/>
        <v>0</v>
      </c>
      <c r="I13" s="935">
        <f t="shared" si="0"/>
        <v>0</v>
      </c>
      <c r="J13" s="934">
        <f t="shared" si="0"/>
        <v>0</v>
      </c>
      <c r="K13" s="934">
        <f t="shared" si="0"/>
        <v>0</v>
      </c>
      <c r="L13" s="936">
        <f t="shared" si="0"/>
        <v>0</v>
      </c>
      <c r="M13" s="936">
        <f t="shared" si="0"/>
        <v>0</v>
      </c>
      <c r="N13" s="934">
        <f t="shared" si="0"/>
        <v>30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205</v>
      </c>
      <c r="AC13" s="934">
        <f t="shared" si="1"/>
        <v>0</v>
      </c>
      <c r="AD13" s="934">
        <f t="shared" si="1"/>
        <v>0</v>
      </c>
      <c r="AE13" s="934">
        <f t="shared" si="1"/>
        <v>0</v>
      </c>
      <c r="AF13" s="934">
        <f t="shared" si="1"/>
        <v>367</v>
      </c>
      <c r="AG13" s="934">
        <f t="shared" si="1"/>
        <v>0</v>
      </c>
      <c r="AH13" s="934">
        <f t="shared" si="1"/>
        <v>0</v>
      </c>
      <c r="AI13" s="934">
        <f t="shared" si="1"/>
        <v>0</v>
      </c>
      <c r="AJ13" s="934">
        <f t="shared" si="1"/>
        <v>0</v>
      </c>
      <c r="AK13" s="934">
        <f t="shared" si="1"/>
        <v>0</v>
      </c>
      <c r="AL13" s="934">
        <f t="shared" si="1"/>
        <v>75</v>
      </c>
      <c r="AM13" s="934">
        <f t="shared" si="1"/>
        <v>93</v>
      </c>
      <c r="AN13" s="934">
        <f t="shared" si="1"/>
        <v>0</v>
      </c>
      <c r="AO13" s="934">
        <f t="shared" si="1"/>
        <v>0</v>
      </c>
      <c r="AP13" s="939">
        <f>IF(ISNUMBER(((Datos!L13/Datos!K13)*11)/factor_trimestre),((Datos!L13/Datos!K13)*11)/factor_trimestre," - ")</f>
        <v>9.0560096153846157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-0.55107526881720426</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21</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6</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2.6868446139180175</v>
      </c>
      <c r="AQ19" s="939">
        <f>IF(ISNUMBER(((Datos!M19/Datos!L19)*11)/factor_trimestre),((Datos!M19/Datos!L19)*11)/factor_trimestre," - ")</f>
        <v>0.40773017562533265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-4.5454545454545456E-2</v>
      </c>
      <c r="AW19" s="941">
        <f>IF(ISNUMBER((Datos!Q19-Datos!R19)/(Datos!S19-Datos!Q19+Datos!R19)),(Datos!Q19-Datos!R19)/(Datos!S19-Datos!Q19+Datos!R19)," - ")</f>
        <v>-7.6200993926007737E-2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36</v>
      </c>
      <c r="F20" s="946">
        <f t="shared" si="4"/>
        <v>372</v>
      </c>
      <c r="G20" s="946">
        <f t="shared" si="4"/>
        <v>372</v>
      </c>
      <c r="H20" s="946">
        <f t="shared" si="4"/>
        <v>0</v>
      </c>
      <c r="I20" s="947">
        <f t="shared" si="4"/>
        <v>0</v>
      </c>
      <c r="J20" s="948">
        <f t="shared" si="4"/>
        <v>0</v>
      </c>
      <c r="K20" s="948">
        <f t="shared" si="4"/>
        <v>0</v>
      </c>
      <c r="L20" s="948">
        <f t="shared" si="4"/>
        <v>0</v>
      </c>
      <c r="M20" s="948">
        <f t="shared" si="4"/>
        <v>0</v>
      </c>
      <c r="N20" s="947">
        <f t="shared" si="4"/>
        <v>30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205</v>
      </c>
      <c r="AC20" s="952">
        <f t="shared" si="5"/>
        <v>0</v>
      </c>
      <c r="AD20" s="952">
        <f t="shared" si="5"/>
        <v>0</v>
      </c>
      <c r="AE20" s="952">
        <f t="shared" si="5"/>
        <v>0</v>
      </c>
      <c r="AF20" s="953">
        <f t="shared" si="5"/>
        <v>367</v>
      </c>
      <c r="AG20" s="953">
        <f t="shared" si="5"/>
        <v>0</v>
      </c>
      <c r="AH20" s="953">
        <f t="shared" si="5"/>
        <v>0</v>
      </c>
      <c r="AI20" s="953">
        <f t="shared" si="5"/>
        <v>0</v>
      </c>
      <c r="AJ20" s="954">
        <f t="shared" si="5"/>
        <v>0</v>
      </c>
      <c r="AK20" s="954">
        <f t="shared" si="5"/>
        <v>0</v>
      </c>
      <c r="AL20" s="946">
        <f t="shared" si="5"/>
        <v>75</v>
      </c>
      <c r="AM20" s="946">
        <f t="shared" si="5"/>
        <v>93</v>
      </c>
      <c r="AN20" s="946">
        <f t="shared" si="5"/>
        <v>0</v>
      </c>
      <c r="AO20" s="946">
        <f t="shared" si="5"/>
        <v>0</v>
      </c>
      <c r="AP20" s="946">
        <f>IF(ISNUMBER(((Datos!L20/Datos!K20)*11)/factor_trimestre),((Datos!L20/Datos!K20)*11)/factor_trimestre," - ")</f>
        <v>5.4030549480590482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-0.55107526881720426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1.0726275280438877E-2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248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14.696938456699069</v>
      </c>
      <c r="F22" s="733">
        <f>IF(ISNUMBER(STDEV(F8:F19)),STDEV(F8:F19),"-")</f>
        <v>214.77430013854078</v>
      </c>
      <c r="G22" s="734">
        <f>IF(ISNUMBER(STDEV(G8:G19)),STDEV(G8:G19),"-")</f>
        <v>214.77430013854078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118.35680518387328</v>
      </c>
      <c r="AC22" s="735">
        <f>IF(ISNUMBER(STDEV(AC8:AC19)),STDEV(AC8:AC19),"-")</f>
        <v>0</v>
      </c>
      <c r="AD22" s="738"/>
      <c r="AE22" s="738"/>
      <c r="AF22" s="738"/>
      <c r="AG22" s="738"/>
      <c r="AH22" s="738"/>
      <c r="AI22" s="738"/>
      <c r="AJ22" s="739">
        <f>IF(ISNUMBER(STDEV(AJ8:AJ19)),STDEV(AJ8:AJ19),"-")</f>
        <v>0</v>
      </c>
      <c r="AK22" s="741"/>
      <c r="AL22" s="733">
        <f>IF(ISNUMBER(STDEV(AL8:AL19)),STDEV(AL8:AL19),"-")</f>
        <v>43.301270189221931</v>
      </c>
      <c r="AM22" s="733"/>
      <c r="AN22" s="733">
        <f>IF(ISNUMBER(STDEV(AN8:AN19)),STDEV(AN8:AN19),"-")</f>
        <v>0</v>
      </c>
      <c r="AO22" s="739">
        <f>IF(ISNUMBER(STDEV(AO8:AO19)),STDEV(AO8:AO19),"-")</f>
        <v>0</v>
      </c>
      <c r="AP22" s="776">
        <f>IF(ISNUMBER(STDEV(AP8:AP19)),STDEV(AP8:AP19),"-")</f>
        <v>3.1976758749053906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DB0NVcATFbiNEKgccacfNKCqgo+Mu1uKKnjVUsPJId3OtHiBCqmt85z8RZjiCNa6w3fkho7YuwF6rghP2GRSA==" saltValue="Oam40VeCzILM1Mjy2QS0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VALENCIA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24</v>
      </c>
      <c r="B9" s="500" t="s">
        <v>247</v>
      </c>
      <c r="C9" s="159" t="str">
        <f>Datos!A9</f>
        <v>Sección Civil del T.I</v>
      </c>
      <c r="D9" s="501"/>
      <c r="E9" s="259">
        <f>IF(ISNUMBER(Datos!AQ9),Datos!AQ9," - ")</f>
        <v>24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663</v>
      </c>
      <c r="O9" s="333"/>
      <c r="P9" s="333"/>
      <c r="Q9" s="225">
        <f>IF(ISNUMBER(Datos!P9),Datos!P9,0)</f>
        <v>2572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2063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691</v>
      </c>
      <c r="AI9" s="224" t="str">
        <f>IF(ISNUMBER(Datos!CD9),Datos!CD9,"-")</f>
        <v>-</v>
      </c>
      <c r="AJ9" s="1214" t="str">
        <f>IF(ISNUMBER(Datos!EN9),Datos!EN9," - ")</f>
        <v xml:space="preserve"> - </v>
      </c>
      <c r="AK9" s="333"/>
      <c r="AL9" s="478"/>
      <c r="AM9" s="1214">
        <f>IF(ISNUMBER(Datos!R9),Datos!R9," - ")</f>
        <v>33122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3454</v>
      </c>
      <c r="BD9" s="228">
        <f>IF(ISNUMBER(Datos!N9),Datos!N9," - ")</f>
        <v>5183</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0.99271574256577255</v>
      </c>
      <c r="BH9" s="1214">
        <f>IF(ISNUMBER(((IF(J_V="SI",Datos!L9/Datos!K9,(Datos!L9+Datos!AB9)/(Datos!K9+Datos!AA9)))*11)/factor_trimestre),((IF(J_V="SI",Datos!L9/Datos!K9,(Datos!L9+Datos!AB9)/(Datos!K9+Datos!AA9)))*11)/factor_trimestre," - ")</f>
        <v>9.5500690607734793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1.560727317327446E-2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5929.4832659221729</v>
      </c>
      <c r="CF9" s="228">
        <f ca="1">AVERAGEIFS($AB:$AB,$BW:$BW,BW9,$BX:$BX,BX9)</f>
        <v>5929.4832659221729</v>
      </c>
      <c r="CG9" s="1191">
        <v>0.7</v>
      </c>
      <c r="CH9" s="1191">
        <f ca="1">AVERAGEIF($BW:$BW,$BW9,$AC:$AC)</f>
        <v>868.63636363636363</v>
      </c>
      <c r="CI9" s="228">
        <f ca="1">AVERAGEIFS($AC:$AC,$BW:$BW,$BW9,$BX:$BX,$BX9)</f>
        <v>868.63636363636363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5133</v>
      </c>
      <c r="CR9" s="228">
        <f ca="1">AVERAGEIFS($AF:$AF,$BW:$BW,BW9,$BX:$BX,BX9)</f>
        <v>5133</v>
      </c>
      <c r="CS9" s="1191">
        <v>1.3</v>
      </c>
      <c r="CT9" s="1191">
        <v>1.5</v>
      </c>
      <c r="CU9" s="1191">
        <f ca="1">AVERAGEIF($BW:$BW,$BW9,$AH:$AH)</f>
        <v>432.375</v>
      </c>
      <c r="CV9" s="228">
        <f ca="1">AVERAGEIFS($AH:$AH,$BW:$BW,$BW9,$BX:$BX,$BX9)</f>
        <v>432.375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10099.636363636364</v>
      </c>
      <c r="DH9" s="1218">
        <f ca="1">AVERAGEIFS($AM:$AM,$BW:$BW,$BW9,$BX:$BX,$BX9)</f>
        <v>10099.636363636364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3.5447975070935378</v>
      </c>
      <c r="ER9" s="1218">
        <f ca="1">AVERAGEIFS($BH:$BH,$BW:$BW,$BW9,$BX:$BX,$BX9)</f>
        <v>3.5447975070935378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6</v>
      </c>
      <c r="B10" s="506" t="s">
        <v>247</v>
      </c>
      <c r="C10" s="7" t="str">
        <f>Datos!A10</f>
        <v>Sección De Violencia sobre la Mujer del TI</v>
      </c>
      <c r="D10" s="507"/>
      <c r="E10" s="259">
        <f>IF(ISNUMBER(Datos!AQ10),Datos!AQ10," - ")</f>
        <v>6</v>
      </c>
      <c r="F10" s="224">
        <f>IF(ISNUMBER(Datos!L10+Datos!K10-Datos!J10),Datos!L10+Datos!K10-Datos!J10," - ")</f>
        <v>372</v>
      </c>
      <c r="G10" s="332">
        <f>IF(ISNUMBER(Datos!I10),Datos!I10," - ")</f>
        <v>372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205</v>
      </c>
      <c r="AC10" s="224">
        <f>IF(ISNUMBER(Datos!Q10),Datos!Q10," - ")</f>
        <v>41</v>
      </c>
      <c r="AD10" s="224"/>
      <c r="AE10" s="224"/>
      <c r="AF10" s="224">
        <f>IF(ISNUMBER(Datos!L10),Datos!L10,"-")</f>
        <v>367</v>
      </c>
      <c r="AG10" s="333"/>
      <c r="AH10" s="224"/>
      <c r="AI10" s="224"/>
      <c r="AJ10" s="1214"/>
      <c r="AK10" s="333"/>
      <c r="AL10" s="478"/>
      <c r="AM10" s="1214">
        <f>IF(ISNUMBER(Datos!R10),Datos!R10," - ")</f>
        <v>263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75</v>
      </c>
      <c r="BD10" s="228">
        <f>IF(ISNUMBER(Datos!N10),Datos!N10," - ")</f>
        <v>93</v>
      </c>
      <c r="BE10" s="1214" t="str">
        <f>IF(ISNUMBER(Datos!BW10),Datos!BW10," - ")</f>
        <v xml:space="preserve"> - </v>
      </c>
      <c r="BF10" s="1214" t="str">
        <f>IF(ISNUMBER(Datos!BX10),Datos!BX10," - ")</f>
        <v xml:space="preserve"> - </v>
      </c>
      <c r="BG10" s="242">
        <f>IF(ISNUMBER(Datos!K10/Datos!J10),Datos!K10/Datos!J10," - ")</f>
        <v>1.0249999999999999</v>
      </c>
      <c r="BH10" s="1214">
        <f>IF(ISNUMBER(((Datos!L10/Datos!K10)*11)/factor_trimestre),((Datos!L10/Datos!K10)*11)/factor_trimestre," - ")</f>
        <v>5.3707317073170735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-4.0145985401459854E-2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5929.4832659221729</v>
      </c>
      <c r="CF10" s="228">
        <f ca="1">AVERAGEIFS($AB:$AB,$BW:$BW,BW10,$BX:$BX,BX10)</f>
        <v>5929.4832659221729</v>
      </c>
      <c r="CG10" s="1191">
        <v>0.7</v>
      </c>
      <c r="CH10" s="1191">
        <f ca="1">AVERAGEIF($BW:$BW,BW10,$AC:$AC)</f>
        <v>868.63636363636363</v>
      </c>
      <c r="CI10" s="228">
        <f ca="1">AVERAGEIFS($AC:$AC,$BW:$BW,BW10,$BX:$BX,BX10)</f>
        <v>868.63636363636363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5133</v>
      </c>
      <c r="CR10" s="228">
        <f ca="1">AVERAGEIFS($AF:$AF,$BW:$BW,BW10,$BX:$BX,BX10)</f>
        <v>5133</v>
      </c>
      <c r="CS10" s="1191">
        <v>1.3</v>
      </c>
      <c r="CT10" s="1191">
        <v>1.5</v>
      </c>
      <c r="CU10" s="1191">
        <f ca="1">AVERAGEIF($BW:$BW,$BW10,$AH:$AH)</f>
        <v>432.375</v>
      </c>
      <c r="CV10" s="228">
        <f ca="1">AVERAGEIFS($AH:$AH,$BW:$BW,$BW10,$BX:$BX,$BX10)</f>
        <v>432.375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10099.636363636364</v>
      </c>
      <c r="DH10" s="1218">
        <f ca="1">AVERAGEIFS($AM:$AM,$BW:$BW,$BW10,$BX:$BX,$BX10)</f>
        <v>10099.636363636364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3.5447975070935378</v>
      </c>
      <c r="ER10" s="1218">
        <f ca="1">AVERAGEIFS($BH:$BH,$BW:$BW,$BW10,$BX:$BX,$BX10)</f>
        <v>3.5447975070935378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7</v>
      </c>
      <c r="B11" s="506" t="s">
        <v>247</v>
      </c>
      <c r="C11" s="7" t="str">
        <f>Datos!A11</f>
        <v xml:space="preserve">Sección de Familia, infancia e incapacidad del TI                           </v>
      </c>
      <c r="D11" s="507"/>
      <c r="E11" s="259">
        <f>IF(ISNUMBER(Datos!AQ11),Datos!AQ11," - ")</f>
        <v>6</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829</v>
      </c>
      <c r="O11" s="333"/>
      <c r="P11" s="333"/>
      <c r="Q11" s="225">
        <f>IF(ISNUMBER(Datos!P11),Datos!P11,0)</f>
        <v>180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190</v>
      </c>
      <c r="AD11" s="224"/>
      <c r="AE11" s="224"/>
      <c r="AF11" s="224" t="str">
        <f>IF(ISNUMBER(IF(J_V="SI",Datos!L11,Datos!L11+Datos!AB11)-IF(Monitorios="SI",Datos!CD11,0)),
                          IF(J_V="SI",Datos!L11,Datos!L11+Datos!AB11)-IF(Monitorios="SI",Datos!CD11,0),
                          " - ")</f>
        <v xml:space="preserve"> - </v>
      </c>
      <c r="AG11" s="333"/>
      <c r="AH11" s="224">
        <f>IF(ISNUMBER(Datos!AB11),Datos!AB11,"-")</f>
        <v>462</v>
      </c>
      <c r="AI11" s="224"/>
      <c r="AJ11" s="1214"/>
      <c r="AK11" s="333"/>
      <c r="AL11" s="478"/>
      <c r="AM11" s="1214">
        <f>IF(ISNUMBER(Datos!R11),Datos!R11," - ")</f>
        <v>1652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475</v>
      </c>
      <c r="BD11" s="228">
        <f>IF(ISNUMBER(Datos!N11),Datos!N11," - ")</f>
        <v>1317</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1.0257116620752984</v>
      </c>
      <c r="BH11" s="1214">
        <f>IF(ISNUMBER(((IF(J_V="SI",Datos!L11/Datos!K11,(Datos!L11+Datos!AB11)/(Datos!K11+Datos!AA11)))*11)/factor_trimestre),((IF(J_V="SI",Datos!L11/Datos!K11,(Datos!L11+Datos!AB11)/(Datos!K11+Datos!AA11)))*11)/factor_trimestre," - ")</f>
        <v>2.1257833482542523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-6.0168471720818293E-3</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5929.4832659221729</v>
      </c>
      <c r="CF11" s="228">
        <f ca="1">AVERAGEIFS($AB:$AB,$BW:$BW,BW11,$BX:$BX,BX11)</f>
        <v>5929.4832659221729</v>
      </c>
      <c r="CG11" s="1191">
        <v>0.7</v>
      </c>
      <c r="CH11" s="1191">
        <f ca="1">AVERAGEIF($BW:$BW,BW11,$AC:$AC)</f>
        <v>868.63636363636363</v>
      </c>
      <c r="CI11" s="228">
        <f ca="1">AVERAGEIFS($AC:$AC,$BW:$BW,BW11,$BX:$BX,BX11)</f>
        <v>868.63636363636363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5133</v>
      </c>
      <c r="CR11" s="228">
        <f ca="1">AVERAGEIFS($AF:$AF,$BW:$BW,BW11,$BX:$BX,BX11)</f>
        <v>5133</v>
      </c>
      <c r="CS11" s="1191">
        <v>1.3</v>
      </c>
      <c r="CT11" s="1191">
        <v>1.5</v>
      </c>
      <c r="CU11" s="1191">
        <f ca="1">AVERAGEIF($BW:$BW,$BW11,$AH:$AH)</f>
        <v>432.375</v>
      </c>
      <c r="CV11" s="228">
        <f ca="1">AVERAGEIFS($AH:$AH,$BW:$BW,$BW11,$BX:$BX,$BX11)</f>
        <v>432.375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10099.636363636364</v>
      </c>
      <c r="DH11" s="1218">
        <f ca="1">AVERAGEIFS($AM:$AM,$BW:$BW,$BW11,$BX:$BX,$BX11)</f>
        <v>10099.636363636364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3.5447975070935378</v>
      </c>
      <c r="ER11" s="1218">
        <f ca="1">AVERAGEIFS($BH:$BH,$BW:$BW,$BW11,$BX:$BX,$BX11)</f>
        <v>3.5447975070935378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5929.4832659221729</v>
      </c>
      <c r="CF12" s="228">
        <f ca="1">AVERAGEIFS($AB:$AB,$BW:$BW,BW12,$BX:$BX,BX12)</f>
        <v>5929.4832659221729</v>
      </c>
      <c r="CG12" s="1191">
        <v>0.7</v>
      </c>
      <c r="CH12" s="1191">
        <f ca="1">AVERAGEIF($BW:$BW,BW12,$AC:$AC)</f>
        <v>868.63636363636363</v>
      </c>
      <c r="CI12" s="228">
        <f ca="1">AVERAGEIFS($AC:$AC,$BW:$BW,BW12,$BX:$BX,BX12)</f>
        <v>868.63636363636363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5133</v>
      </c>
      <c r="CR12" s="228">
        <f ca="1">AVERAGEIFS($AF:$AF,$BW:$BW,BW12,$BX:$BX,BX12)</f>
        <v>5133</v>
      </c>
      <c r="CS12" s="1191">
        <v>1.3</v>
      </c>
      <c r="CT12" s="1191">
        <v>1.5</v>
      </c>
      <c r="CU12" s="1191">
        <f ca="1">AVERAGEIF($BW:$BW,$BW12,$AH:$AH)</f>
        <v>432.375</v>
      </c>
      <c r="CV12" s="228">
        <f ca="1">AVERAGEIFS($AH:$AH,$BW:$BW,$BW12,$BX:$BX,$BX12)</f>
        <v>432.375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10099.636363636364</v>
      </c>
      <c r="DH12" s="1218">
        <f ca="1">AVERAGEIFS($AM:$AM,$BW:$BW,$BW12,$BX:$BX,$BX12)</f>
        <v>10099.636363636364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3.5447975070935378</v>
      </c>
      <c r="ER12" s="1218">
        <f ca="1">AVERAGEIFS($BH:$BH,$BW:$BW,$BW12,$BX:$BX,$BX12)</f>
        <v>3.5447975070935378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36</v>
      </c>
      <c r="F13" s="895">
        <f t="shared" si="1"/>
        <v>372</v>
      </c>
      <c r="G13" s="895">
        <f t="shared" si="1"/>
        <v>372</v>
      </c>
      <c r="H13" s="896">
        <f t="shared" si="1"/>
        <v>0</v>
      </c>
      <c r="I13" s="895">
        <f t="shared" si="1"/>
        <v>0</v>
      </c>
      <c r="J13" s="864">
        <f t="shared" si="1"/>
        <v>0</v>
      </c>
      <c r="K13" s="864">
        <f t="shared" si="1"/>
        <v>0</v>
      </c>
      <c r="L13" s="896">
        <f t="shared" si="1"/>
        <v>0</v>
      </c>
      <c r="M13" s="896">
        <f t="shared" si="1"/>
        <v>0</v>
      </c>
      <c r="N13" s="896">
        <f t="shared" si="1"/>
        <v>1492</v>
      </c>
      <c r="O13" s="897">
        <f t="shared" si="1"/>
        <v>0</v>
      </c>
      <c r="P13" s="897">
        <f t="shared" si="1"/>
        <v>0</v>
      </c>
      <c r="Q13" s="896">
        <f t="shared" si="1"/>
        <v>2782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205</v>
      </c>
      <c r="AC13" s="896">
        <f t="shared" si="2"/>
        <v>2294</v>
      </c>
      <c r="AD13" s="896">
        <f t="shared" si="2"/>
        <v>0</v>
      </c>
      <c r="AE13" s="896">
        <f t="shared" si="2"/>
        <v>0</v>
      </c>
      <c r="AF13" s="896">
        <f t="shared" si="2"/>
        <v>367</v>
      </c>
      <c r="AG13" s="896">
        <f t="shared" si="2"/>
        <v>0</v>
      </c>
      <c r="AH13" s="896">
        <f t="shared" si="2"/>
        <v>1153</v>
      </c>
      <c r="AI13" s="896">
        <f t="shared" si="2"/>
        <v>0</v>
      </c>
      <c r="AJ13" s="896">
        <f t="shared" si="2"/>
        <v>0</v>
      </c>
      <c r="AK13" s="896">
        <f t="shared" si="2"/>
        <v>0</v>
      </c>
      <c r="AL13" s="896">
        <f t="shared" si="2"/>
        <v>0</v>
      </c>
      <c r="AM13" s="896">
        <f t="shared" si="2"/>
        <v>35037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4004</v>
      </c>
      <c r="BD13" s="896">
        <f t="shared" si="2"/>
        <v>6593</v>
      </c>
      <c r="BE13" s="896">
        <f t="shared" si="2"/>
        <v>0</v>
      </c>
      <c r="BF13" s="896">
        <f t="shared" si="2"/>
        <v>0</v>
      </c>
      <c r="BG13" s="896">
        <f>IF(ISNUMBER(Datos!K13/Datos!J13),Datos!K13/Datos!J13," - ")</f>
        <v>0.99402628434886497</v>
      </c>
      <c r="BH13" s="900">
        <f>IF(ISNUMBER(((Datos!L13/Datos!K13)*11)/factor_trimestre),((Datos!L13/Datos!K13)*11)/factor_trimestre," - ")</f>
        <v>9.0560096153846157</v>
      </c>
      <c r="BI13" s="896">
        <f>IF(ISNUMBER('Resol  Asuntos'!D13/NºAsuntos!G13),'Resol  Asuntos'!D13/NºAsuntos!G13," - ")</f>
        <v>0.28553091349925125</v>
      </c>
      <c r="BJ13" s="896" t="str">
        <f>IF(ISNUMBER(Datos!CI13/Datos!CJ13),Datos!CI13/Datos!CJ13," - ")</f>
        <v xml:space="preserve"> - </v>
      </c>
      <c r="BK13" s="896">
        <f>SUBTOTAL(9,BK8:BK12)</f>
        <v>0</v>
      </c>
      <c r="BL13" s="896">
        <f>IF(ISNUMBER((I13-AB13+L13)/(F13)),(I13-AB13+L13)/(F13)," - ")</f>
        <v>-0.55107526881720426</v>
      </c>
      <c r="BM13" s="901">
        <f>SUBTOTAL(9,BM9:BM12)</f>
        <v>-3.0555559400267222E-2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21</v>
      </c>
      <c r="B15" s="593" t="s">
        <v>397</v>
      </c>
      <c r="C15" s="598" t="str">
        <f>Datos!A15</f>
        <v xml:space="preserve">Seccion Instruccion Del T.I.                   </v>
      </c>
      <c r="D15" s="599"/>
      <c r="E15" s="1160">
        <f>IF(ISNUMBER(Datos!AQ15),Datos!AQ15," - ")</f>
        <v>21</v>
      </c>
      <c r="F15" s="594">
        <f>IF(ISNUMBER(AF15+AB15-Datos!J15-L15),AF15+AB15-Datos!J15-L15," - ")</f>
        <v>13912</v>
      </c>
      <c r="G15" s="596">
        <f>IF(ISNUMBER(IF(D_I="SI",Datos!I15,Datos!I15+Datos!AC15)),IF(D_I="SI",Datos!I15,Datos!I15+Datos!AC15)," - ")</f>
        <v>13738</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769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14937</v>
      </c>
      <c r="AC15" s="224">
        <f>IF(ISNUMBER(Datos!Q15),Datos!Q15," - ")</f>
        <v>865</v>
      </c>
      <c r="AD15" s="224"/>
      <c r="AE15" s="224"/>
      <c r="AF15" s="224">
        <f>IF(ISNUMBER(IF(D_I="SI",Datos!L15,Datos!L15+Datos!AF15)),IF(D_I="SI",Datos!L15,Datos!L15+Datos!AF15)," - ")</f>
        <v>13562</v>
      </c>
      <c r="AG15" s="333"/>
      <c r="AH15" s="224"/>
      <c r="AI15" s="224"/>
      <c r="AJ15" s="1214"/>
      <c r="AK15" s="333"/>
      <c r="AL15" s="478"/>
      <c r="AM15" s="1214">
        <f>IF(ISNUMBER(Datos!R15),Datos!R15," - ")</f>
        <v>1958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1947</v>
      </c>
      <c r="BD15" s="228">
        <f>IF(ISNUMBER(Datos!N15),Datos!N15," - ")</f>
        <v>9314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1.0239939672310963</v>
      </c>
      <c r="BH15" s="1214">
        <f>IF(ISNUMBER(((IF(D_I="SI",Datos!L15/Datos!K15,(Datos!L15+Datos!AF15)/(Datos!K15+Datos!AE15)))*11)/factor_trimestre),((IF(D_I="SI",Datos!L15/Datos!K15,(Datos!L15+Datos!AF15)/(Datos!K15+Datos!AE15)))*11)/factor_trimestre," - ")</f>
        <v>2.7238401285398677</v>
      </c>
      <c r="BI15" s="242">
        <f>IF(ISNUMBER('Resol  Asuntos'!D15/NºAsuntos!G15),'Resol  Asuntos'!D15/NºAsuntos!G15," - ")</f>
        <v>0.13034745932918257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5929.4832659221729</v>
      </c>
      <c r="CF15" s="228">
        <f ca="1">AVERAGEIFS($AB:$AB,$BW:$BW,BW15,$BX:$BX,BX15)</f>
        <v>5929.4832659221729</v>
      </c>
      <c r="CG15" s="1191">
        <v>0.7</v>
      </c>
      <c r="CH15" s="1191">
        <f ca="1">AVERAGEIF($BW:$BW,BW15,$AC:$AC)</f>
        <v>868.63636363636363</v>
      </c>
      <c r="CI15" s="228">
        <f ca="1">AVERAGEIFS($AC:$AC,$BW:$BW,BW15,$BX:$BX,BX15)</f>
        <v>868.63636363636363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5133</v>
      </c>
      <c r="CR15" s="228">
        <f ca="1">AVERAGEIFS($AF:$AF,$BW:$BW,BW15,$BX:$BX,BX15)</f>
        <v>5133</v>
      </c>
      <c r="CS15" s="1191">
        <v>1.3</v>
      </c>
      <c r="CT15" s="1191">
        <v>1.5</v>
      </c>
      <c r="CU15" s="1191">
        <f ca="1">AVERAGEIF($BW:$BW,$BW15,$AH:$AH)</f>
        <v>432.375</v>
      </c>
      <c r="CV15" s="228">
        <f ca="1">AVERAGEIFS($AH:$AH,$BW:$BW,$BW15,$BX:$BX,$BX15)</f>
        <v>432.375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10099.636363636364</v>
      </c>
      <c r="DH15" s="1218">
        <f ca="1">AVERAGEIFS($AM:$AM,$BW:$BW,$BW15,$BX:$BX,$BX15)</f>
        <v>10099.636363636364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3.5447975070935378</v>
      </c>
      <c r="ER15" s="1218">
        <f ca="1">AVERAGEIFS($BH:$BH,$BW:$BW,$BW15,$BX:$BX,$BX15)</f>
        <v>3.5447975070935378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5929.4832659221729</v>
      </c>
      <c r="CF16" s="1218">
        <f ca="1">AVERAGEIFS($AB:$AB,$BW:$BW,BW16,$BX:$BX,BX16)</f>
        <v>5929.4832659221729</v>
      </c>
      <c r="CG16" s="1191">
        <v>0.7</v>
      </c>
      <c r="CH16" s="1191">
        <f ca="1">AVERAGEIF($BW:$BW,BW16,$AC:$AC)</f>
        <v>868.63636363636363</v>
      </c>
      <c r="CI16" s="1218">
        <f ca="1">AVERAGEIFS($AC:$AC,$BW:$BW,BW16,$BX:$BX,BX16)</f>
        <v>868.63636363636363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5133</v>
      </c>
      <c r="CR16" s="1218">
        <f ca="1">AVERAGEIFS($AF:$AF,$BW:$BW,BW16,$BX:$BX,BX16)</f>
        <v>5133</v>
      </c>
      <c r="CS16" s="1191">
        <v>1.3</v>
      </c>
      <c r="CT16" s="1191">
        <v>1.5</v>
      </c>
      <c r="CU16" s="1191">
        <f ca="1">AVERAGEIF($BW:$BW,$BW16,$AH:$AH)</f>
        <v>432.375</v>
      </c>
      <c r="CV16" s="1218">
        <f ca="1">AVERAGEIFS($AH:$AH,$BW:$BW,$BW16,$BX:$BX,$BX16)</f>
        <v>432.375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10099.636363636364</v>
      </c>
      <c r="DH16" s="1218">
        <f ca="1">AVERAGEIFS($AM:$AM,$BW:$BW,$BW16,$BX:$BX,$BX16)</f>
        <v>10099.636363636364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3.5447975070935378</v>
      </c>
      <c r="ER16" s="1218">
        <f ca="1">AVERAGEIFS($BH:$BH,$BW:$BW,$BW16,$BX:$BX,$BX16)</f>
        <v>3.5447975070935378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5929.4832659221729</v>
      </c>
      <c r="CF17" s="228">
        <f ca="1">AVERAGEIFS($AB:$AB,$BW:$BW,BW17,$BX:$BX,BX17)</f>
        <v>5929.4832659221729</v>
      </c>
      <c r="CG17" s="1191">
        <v>0.7</v>
      </c>
      <c r="CH17" s="1191">
        <f ca="1">AVERAGEIF($BW:$BW,BW17,$AC:$AC)</f>
        <v>868.63636363636363</v>
      </c>
      <c r="CI17" s="228">
        <f ca="1">AVERAGEIFS($AC:$AC,$BW:$BW,BW17,$BX:$BX,BX17)</f>
        <v>868.63636363636363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5133</v>
      </c>
      <c r="CR17" s="228">
        <f ca="1">AVERAGEIFS($AF:$AF,$BW:$BW,BW17,$BX:$BX,BX17)</f>
        <v>5133</v>
      </c>
      <c r="CS17" s="1191">
        <v>1.3</v>
      </c>
      <c r="CT17" s="1191">
        <v>1.5</v>
      </c>
      <c r="CU17" s="1191">
        <f ca="1">AVERAGEIF($BW:$BW,$BW17,$AH:$AH)</f>
        <v>432.375</v>
      </c>
      <c r="CV17" s="228">
        <f ca="1">AVERAGEIFS($AH:$AH,$BW:$BW,$BW17,$BX:$BX,$BX17)</f>
        <v>432.375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10099.636363636364</v>
      </c>
      <c r="DH17" s="1218">
        <f ca="1">AVERAGEIFS($AM:$AM,$BW:$BW,$BW17,$BX:$BX,$BX17)</f>
        <v>10099.636363636364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3.5447975070935378</v>
      </c>
      <c r="ER17" s="1218">
        <f ca="1">AVERAGEIFS($BH:$BH,$BW:$BW,$BW17,$BX:$BX,$BX17)</f>
        <v>3.5447975070935378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6</v>
      </c>
      <c r="B18" s="506" t="s">
        <v>397</v>
      </c>
      <c r="C18" s="7" t="str">
        <f>Datos!A18</f>
        <v>Sección De Violencia sobre la Mujer del TI</v>
      </c>
      <c r="D18" s="507"/>
      <c r="E18" s="1020">
        <f>IF(ISNUMBER(Datos!AQ18),Datos!AQ18," - ")</f>
        <v>6</v>
      </c>
      <c r="F18" s="224" t="str">
        <f>IF(ISNUMBER(AF18+AB18-I18-L18),AF18+AB18-I18-L18," - ")</f>
        <v xml:space="preserve"> - </v>
      </c>
      <c r="G18" s="332">
        <f>IF(ISNUMBER(IF(D_I="SI",Datos!I18,Datos!I18+Datos!AC18)),IF(D_I="SI",Datos!I18,Datos!I18+Datos!AC18)," - ")</f>
        <v>1385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27</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1847</v>
      </c>
      <c r="AC18" s="224">
        <f>IF(ISNUMBER(Datos!Q18),Datos!Q18," - ")</f>
        <v>26</v>
      </c>
      <c r="AD18" s="224"/>
      <c r="AE18" s="224"/>
      <c r="AF18" s="224">
        <f>IF(ISNUMBER(Datos!L18),Datos!L18,"-")</f>
        <v>1470</v>
      </c>
      <c r="AG18" s="333"/>
      <c r="AH18" s="224"/>
      <c r="AI18" s="224"/>
      <c r="AJ18" s="1214"/>
      <c r="AK18" s="333"/>
      <c r="AL18" s="478"/>
      <c r="AM18" s="1214">
        <f>IF(ISNUMBER(Datos!R18),Datos!R18," - ")</f>
        <v>37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96</v>
      </c>
      <c r="BD18" s="228">
        <f>IF(ISNUMBER(Datos!N18),Datos!N18," - ")</f>
        <v>1256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0.92119700748129674</v>
      </c>
      <c r="BH18" s="1214">
        <f>IF(ISNUMBER(((IF(D_I="SI",Datos!L18/Datos!K18,(Datos!L18+Datos!AF18)/(Datos!K18+Datos!AE18)))*11)/factor_trimestre),((IF(D_I="SI",Datos!L18/Datos!K18,(Datos!L18+Datos!AF18)/(Datos!K18+Datos!AE18)))*11)/factor_trimestre," - ")</f>
        <v>2.3876556578234975</v>
      </c>
      <c r="BI18" s="242">
        <f>IF(ISNUMBER('Resol  Asuntos'!D18/NºAsuntos!G18),'Resol  Asuntos'!D18/NºAsuntos!G18," - ")</f>
        <v>5.1976177585273418E-2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5929.4832659221729</v>
      </c>
      <c r="CF18" s="228">
        <f ca="1">AVERAGEIFS($AB:$AB,$BW:$BW,BW18,$BX:$BX,BX18)</f>
        <v>5929.4832659221729</v>
      </c>
      <c r="CG18" s="1191">
        <v>0.7</v>
      </c>
      <c r="CH18" s="1191">
        <f ca="1">AVERAGEIF($BW:$BW,BW18,$AC:$AC)</f>
        <v>868.63636363636363</v>
      </c>
      <c r="CI18" s="228">
        <f ca="1">AVERAGEIFS($AC:$AC,$BW:$BW,BW18,$BX:$BX,BX18)</f>
        <v>868.63636363636363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5133</v>
      </c>
      <c r="CR18" s="228">
        <f ca="1">AVERAGEIFS($AF:$AF,$BW:$BW,BW18,$BX:$BX,BX18)</f>
        <v>5133</v>
      </c>
      <c r="CS18" s="1191">
        <v>1.3</v>
      </c>
      <c r="CT18" s="1191">
        <v>1.5</v>
      </c>
      <c r="CU18" s="1191">
        <f ca="1">AVERAGEIF($BW:$BW,$BW18,$AH:$AH)</f>
        <v>432.375</v>
      </c>
      <c r="CV18" s="228">
        <f ca="1">AVERAGEIFS($AH:$AH,$BW:$BW,$BW18,$BX:$BX,$BX18)</f>
        <v>432.375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10099.636363636364</v>
      </c>
      <c r="DH18" s="1218">
        <f ca="1">AVERAGEIFS($AM:$AM,$BW:$BW,$BW18,$BX:$BX,$BX18)</f>
        <v>10099.636363636364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3.5447975070935378</v>
      </c>
      <c r="ER18" s="1218">
        <f ca="1">AVERAGEIFS($BH:$BH,$BW:$BW,$BW18,$BX:$BX,$BX18)</f>
        <v>3.5447975070935378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27</v>
      </c>
      <c r="F19" s="895">
        <f>SUBTOTAL(9,F15:F18)</f>
        <v>13912</v>
      </c>
      <c r="G19" s="895">
        <f>SUBTOTAL(9,G15:G18)</f>
        <v>15123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796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16784</v>
      </c>
      <c r="AC19" s="896">
        <f t="shared" si="5"/>
        <v>891</v>
      </c>
      <c r="AD19" s="896">
        <f t="shared" si="5"/>
        <v>0</v>
      </c>
      <c r="AE19" s="896">
        <f t="shared" si="5"/>
        <v>0</v>
      </c>
      <c r="AF19" s="896">
        <f t="shared" si="5"/>
        <v>15032</v>
      </c>
      <c r="AG19" s="896">
        <f t="shared" si="5"/>
        <v>0</v>
      </c>
      <c r="AH19" s="896">
        <f t="shared" si="5"/>
        <v>0</v>
      </c>
      <c r="AI19" s="896">
        <f t="shared" si="5"/>
        <v>0</v>
      </c>
      <c r="AJ19" s="896">
        <f t="shared" si="5"/>
        <v>0</v>
      </c>
      <c r="AK19" s="896">
        <f t="shared" si="5"/>
        <v>0</v>
      </c>
      <c r="AL19" s="896">
        <f t="shared" si="5"/>
        <v>0</v>
      </c>
      <c r="AM19" s="896">
        <f t="shared" si="5"/>
        <v>1995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2043</v>
      </c>
      <c r="BD19" s="896">
        <f t="shared" si="5"/>
        <v>10570</v>
      </c>
      <c r="BE19" s="896">
        <f t="shared" si="5"/>
        <v>0</v>
      </c>
      <c r="BF19" s="896">
        <f t="shared" si="5"/>
        <v>0</v>
      </c>
      <c r="BG19" s="896">
        <f>IF(ISNUMBER(Datos!K19/Datos!J19),Datos!K19/Datos!J19," - ")</f>
        <v>1.0115718418514947</v>
      </c>
      <c r="BH19" s="900">
        <f>IF(ISNUMBER(((Datos!L19/Datos!K19)*11)/factor_trimestre),((Datos!L19/Datos!K19)*11)/factor_trimestre," - ")</f>
        <v>2.6868446139180175</v>
      </c>
      <c r="BI19" s="896">
        <f>SUBTOTAL(9,BI15:BI18)</f>
        <v>0.18232363691445599</v>
      </c>
      <c r="BJ19" s="896">
        <f>SUBTOTAL(9,BJ15:BJ18)</f>
        <v>0</v>
      </c>
      <c r="BK19" s="896">
        <f>SUBTOTAL(9,BK15:BK18)</f>
        <v>0</v>
      </c>
      <c r="BL19" s="896">
        <f>IF(ISNUMBER((I19-AB19+L19)/(F19)),(I19-AB19+L19)/(F19)," - ")</f>
        <v>-1.2064404830362276</v>
      </c>
      <c r="BM19" s="902">
        <f>IF(ISNUMBER((Datos!P19-Datos!Q19)/(Datos!R19-Datos!P19+Datos!Q19)),(Datos!P19-Datos!Q19)/(Datos!R19-Datos!P19+Datos!Q19)," - ")</f>
        <v>-4.5454545454545456E-2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63</v>
      </c>
      <c r="F20" s="817">
        <f t="shared" si="7"/>
        <v>14284</v>
      </c>
      <c r="G20" s="817">
        <f t="shared" si="7"/>
        <v>15495</v>
      </c>
      <c r="H20" s="819">
        <f t="shared" si="7"/>
        <v>0</v>
      </c>
      <c r="I20" s="817">
        <f t="shared" si="7"/>
        <v>0</v>
      </c>
      <c r="J20" s="819">
        <f t="shared" si="7"/>
        <v>0</v>
      </c>
      <c r="K20" s="819">
        <f t="shared" si="7"/>
        <v>0</v>
      </c>
      <c r="L20" s="878">
        <f t="shared" si="7"/>
        <v>0</v>
      </c>
      <c r="M20" s="878">
        <f t="shared" si="7"/>
        <v>0</v>
      </c>
      <c r="N20" s="878">
        <f t="shared" si="7"/>
        <v>1492</v>
      </c>
      <c r="O20" s="878">
        <f t="shared" si="7"/>
        <v>0</v>
      </c>
      <c r="P20" s="878">
        <f t="shared" si="7"/>
        <v>0</v>
      </c>
      <c r="Q20" s="819">
        <f t="shared" si="7"/>
        <v>3578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16989</v>
      </c>
      <c r="AC20" s="818">
        <f t="shared" si="8"/>
        <v>3185</v>
      </c>
      <c r="AD20" s="818">
        <f t="shared" si="8"/>
        <v>0</v>
      </c>
      <c r="AE20" s="818">
        <f t="shared" si="8"/>
        <v>0</v>
      </c>
      <c r="AF20" s="825">
        <f t="shared" si="8"/>
        <v>15399</v>
      </c>
      <c r="AG20" s="825">
        <f t="shared" si="8"/>
        <v>0</v>
      </c>
      <c r="AH20" s="825">
        <f t="shared" si="8"/>
        <v>1153</v>
      </c>
      <c r="AI20" s="825">
        <f t="shared" si="8"/>
        <v>0</v>
      </c>
      <c r="AJ20" s="818">
        <f t="shared" si="8"/>
        <v>0</v>
      </c>
      <c r="AK20" s="825">
        <f t="shared" si="8"/>
        <v>0</v>
      </c>
      <c r="AL20" s="825">
        <f t="shared" si="8"/>
        <v>0</v>
      </c>
      <c r="AM20" s="825">
        <f t="shared" si="8"/>
        <v>37032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6047</v>
      </c>
      <c r="BD20" s="817">
        <f t="shared" si="8"/>
        <v>17163</v>
      </c>
      <c r="BE20" s="817">
        <f t="shared" si="8"/>
        <v>0</v>
      </c>
      <c r="BF20" s="827">
        <f t="shared" si="8"/>
        <v>0</v>
      </c>
      <c r="BG20" s="912">
        <f>IF(ISNUMBER(Datos!K20/Datos!J20),Datos!K20/Datos!J20," - ")</f>
        <v>1.0040141352454799</v>
      </c>
      <c r="BH20" s="912">
        <f>IF(ISNUMBER(((Datos!L20/Datos!K20)*11)/factor_trimestre),((Datos!L20/Datos!K20)*11)/factor_trimestre," - ")</f>
        <v>5.4030549480590482</v>
      </c>
      <c r="BI20" s="810">
        <f>IF(ISNUMBER(Datos!J20/Datos!I20),Datos!J20/Datos!I20," - ")</f>
        <v>0.55514922956783419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-1.1893727247269672</v>
      </c>
      <c r="BM20" s="886">
        <f>IF(ISNUMBER((Datos!P20-Datos!Q20+R20)/(Datos!R20-Datos!P20+Datos!Q20-R20)),(Datos!P20-Datos!Q20+R20)/(Datos!R20-Datos!P20+Datos!Q20-R20)," - ")</f>
        <v>1.0726275280438877E-2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13.175735273600484</v>
      </c>
      <c r="F22" s="550">
        <f>IF(ISNUMBER(STDEV(F8:F19)),STDEV(F8:F19),"-")</f>
        <v>7817.3226448275327</v>
      </c>
      <c r="G22" s="551">
        <f>IF(ISNUMBER(STDEV(G8:G19)),STDEV(G8:G19),"-")</f>
        <v>7542.4920616464688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8327.8326592217254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1595.4246784984571</v>
      </c>
      <c r="BD22" s="550"/>
      <c r="BE22" s="550">
        <f>IF(ISNUMBER(STDEV(BE8:BE19)),STDEV(BE8:BE19),"-")</f>
        <v>0</v>
      </c>
      <c r="BF22" s="555">
        <f>IF(ISNUMBER(STDEV(BF8:BF19)),STDEV(BF8:BF19),"-")</f>
        <v>0</v>
      </c>
      <c r="BG22" s="772">
        <f>IF(ISNUMBER(STDEV(BG8:BG19)),STDEV(BG8:BG19),"-")</f>
        <v>3.7169849940968377E-2</v>
      </c>
      <c r="BH22" s="773">
        <f>IF(ISNUMBER(STDEV(BH8:BH19)),STDEV(BH8:BH19),"-")</f>
        <v>3.233581005052601</v>
      </c>
      <c r="BI22" s="248">
        <f>IF(ISNUMBER(STDEV(BI8:BI19)),STDEV(BI8:BI19),"-")</f>
        <v>9.7943649635978694E-2</v>
      </c>
      <c r="BJ22" s="1415" t="str">
        <f>IF(ISNUMBER(BL22/BM22),BL22/BM22," - ")</f>
        <v xml:space="preserve"> - </v>
      </c>
      <c r="BK22" s="574"/>
      <c r="BL22" s="558">
        <f>IF(ISNUMBER(STDEV(BL8:BL19)),STDEV(BL8:BL19),"-")</f>
        <v>0.46341318712804597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9u/XTZ44uNgHP/Rr7/nu/KxX/YYgm6mEKZo7H75fr/rsHkzcpEbzo+0UgO2y0KceRxsbH6PgPVvQ5lithy3qw==" saltValue="XlCfi2Re2Nzk0PsautQd3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VALENCIA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0.28553091349925125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0.2019008451737101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Ym/5uJH4QAjMzZQ8iGQCQ3apL1xroKiFZYea8MLG7cRdZZ2+XX91xbbgq0s/bPHlN9xlbnx7dIw0sFp7P1PtA==" saltValue="plb7yDkFhO+NdCWsDLYxe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VALENCIA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gvNcl00o2Se4AVnG2PhqPrEqwhduaiLN3scfAGYPVuI6M59mGdzd+vLK8UceQU6C0tE9qkFX8IOuz3xoYKjMQ==" saltValue="Blq6O67eJAUv9xiRJZXYk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VALENCIA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24</v>
      </c>
      <c r="D9" s="402">
        <f>Datos!BK9</f>
        <v>0</v>
      </c>
      <c r="E9" s="402">
        <f>Datos!AQ9</f>
        <v>24</v>
      </c>
      <c r="F9" s="403">
        <f>IF(ISNUMBER(E9/Datos!BH9),E9/Datos!BH9," - ")</f>
        <v>0.92307692307692313</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6</v>
      </c>
      <c r="D10" s="402">
        <f>Datos!BK10</f>
        <v>0</v>
      </c>
      <c r="E10" s="402">
        <f>Datos!AQ10</f>
        <v>6</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6</v>
      </c>
      <c r="D11" s="402">
        <f>Datos!BK11</f>
        <v>0</v>
      </c>
      <c r="E11" s="402">
        <f>Datos!AQ11</f>
        <v>6</v>
      </c>
      <c r="F11" s="403">
        <f>IF(ISNUMBER(E11/Datos!BH11),E11/Datos!BH11," - ")</f>
        <v>0.54545454545454541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21</v>
      </c>
      <c r="D15" s="402">
        <f>Datos!BK15</f>
        <v>0</v>
      </c>
      <c r="E15" s="402">
        <f>Datos!AQ15</f>
        <v>21</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6</v>
      </c>
      <c r="D18" s="402">
        <f>Datos!BK18</f>
        <v>0</v>
      </c>
      <c r="E18" s="402">
        <f>Datos!AQ18</f>
        <v>6</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pP+BHe4nHq/SVYSFwQobbyii5kyZpbpsKQpOfGn0doVXsf/bDFPS/2EGozAA2WTLnxFaG1+RS39SQZmr0fprQ==" saltValue="9lWThFgOdf304mqs42DyM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VALENCIA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24</v>
      </c>
      <c r="C9" s="409">
        <f>Datos!AQ9</f>
        <v>24</v>
      </c>
      <c r="D9" s="402">
        <f>IF(ISNUMBER(Datos!M9),Datos!M9," - ")</f>
        <v>3454</v>
      </c>
      <c r="E9" s="403">
        <f t="shared" ref="E9:E13" si="0">IF(ISNUMBER(D9/B9),D9/B9," - ")</f>
        <v>143.91666666666666</v>
      </c>
      <c r="F9" s="402">
        <f>IF(ISNUMBER(Datos!N9),Datos!N9," - ")</f>
        <v>5183</v>
      </c>
      <c r="G9" s="403">
        <f t="shared" ref="G9:G13" si="1">IF(ISNUMBER(F9/B9),F9/B9," - ")</f>
        <v>215.95833333333334</v>
      </c>
      <c r="H9" s="402">
        <f>IF(ISNUMBER(Datos!O9),Datos!O9," - ")</f>
        <v>4549</v>
      </c>
      <c r="I9" s="403">
        <f>IF(ISNUMBER(H9/B9),H9/B9," - ")</f>
        <v>189.54166666666666</v>
      </c>
      <c r="BZ9" s="1181">
        <f>Datos!EZ9</f>
        <v>0</v>
      </c>
    </row>
    <row r="10" spans="1:78">
      <c r="A10" s="401" t="str">
        <f>Datos!A10</f>
        <v>Sección De Violencia sobre la Mujer del TI</v>
      </c>
      <c r="B10" s="426">
        <f>Datos!AO10</f>
        <v>6</v>
      </c>
      <c r="C10" s="409">
        <f>Datos!AQ10</f>
        <v>6</v>
      </c>
      <c r="D10" s="402">
        <f>IF(ISNUMBER(Datos!M10),Datos!M10," - ")</f>
        <v>75</v>
      </c>
      <c r="E10" s="403">
        <f>IF(ISNUMBER(D10/B10),D10/B10," - ")</f>
        <v>12.5</v>
      </c>
      <c r="F10" s="402">
        <f>IF(ISNUMBER(Datos!N10),Datos!N10," - ")</f>
        <v>93</v>
      </c>
      <c r="G10" s="403">
        <f>IF(ISNUMBER(F10/B10),F10/B10," - ")</f>
        <v>15.5</v>
      </c>
      <c r="H10" s="402">
        <f>IF(ISNUMBER(Datos!O10),Datos!O10," - ")</f>
        <v>51</v>
      </c>
      <c r="I10" s="403">
        <f t="shared" ref="I10:I12" si="2">IF(ISNUMBER(H10/B10),H10/B10," - ")</f>
        <v>8.5</v>
      </c>
      <c r="BZ10" s="1181">
        <f>Datos!EZ10</f>
        <v>0</v>
      </c>
    </row>
    <row r="11" spans="1:78">
      <c r="A11" s="401" t="str">
        <f>Datos!A11</f>
        <v xml:space="preserve">Sección de Familia, infancia e incapacidad del TI                           </v>
      </c>
      <c r="B11" s="426">
        <f>Datos!AO11</f>
        <v>7</v>
      </c>
      <c r="C11" s="409">
        <f>Datos!AQ11</f>
        <v>6</v>
      </c>
      <c r="D11" s="402">
        <f>IF(ISNUMBER(Datos!M11),Datos!M11," - ")</f>
        <v>475</v>
      </c>
      <c r="E11" s="403">
        <f t="shared" si="0"/>
        <v>67.857142857142861</v>
      </c>
      <c r="F11" s="402">
        <f>IF(ISNUMBER(Datos!N11),Datos!N11," - ")</f>
        <v>1317</v>
      </c>
      <c r="G11" s="403">
        <f t="shared" si="1"/>
        <v>188.14285714285714</v>
      </c>
      <c r="H11" s="402">
        <f>IF(ISNUMBER(Datos!O11),Datos!O11," - ")</f>
        <v>594</v>
      </c>
      <c r="I11" s="403">
        <f t="shared" si="2"/>
        <v>84.857142857142861</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37</v>
      </c>
      <c r="C13" s="848">
        <f>Datos!AR13</f>
        <v>36</v>
      </c>
      <c r="D13" s="846">
        <f>SUBTOTAL(9,D9:D12)</f>
        <v>4004</v>
      </c>
      <c r="E13" s="847">
        <f t="shared" si="0"/>
        <v>108.21621621621621</v>
      </c>
      <c r="F13" s="846">
        <f>SUBTOTAL(9,F9:F12)</f>
        <v>6593</v>
      </c>
      <c r="G13" s="847">
        <f t="shared" si="1"/>
        <v>178.18918918918919</v>
      </c>
      <c r="H13" s="846">
        <f>SUBTOTAL(9,H9:H12)</f>
        <v>5194</v>
      </c>
      <c r="I13" s="847">
        <f>IF(ISNUMBER(H13/B13),H13/B13," - ")</f>
        <v>140.37837837837839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21</v>
      </c>
      <c r="C15" s="427">
        <f>Datos!AQ15</f>
        <v>21</v>
      </c>
      <c r="D15" s="402">
        <f>IF(ISNUMBER(Datos!M15),Datos!M15," - ")</f>
        <v>1947</v>
      </c>
      <c r="E15" s="403">
        <f t="shared" ref="E15:E19" si="3">IF(ISNUMBER(D15/B15),D15/B15," - ")</f>
        <v>92.714285714285708</v>
      </c>
      <c r="F15" s="402">
        <f>IF(ISNUMBER(Datos!N15),Datos!N15," - ")</f>
        <v>9314</v>
      </c>
      <c r="G15" s="403">
        <f t="shared" ref="G15:G19" si="4">IF(ISNUMBER(F15/B15),F15/B15," - ")</f>
        <v>443.52380952380952</v>
      </c>
      <c r="H15" s="402">
        <f>IF(ISNUMBER(Datos!O15),Datos!O15," - ")</f>
        <v>445</v>
      </c>
      <c r="I15" s="403">
        <f t="shared" ref="I15:I18" si="5">IF(ISNUMBER(H15/B15),H15/B15," - ")</f>
        <v>21.19047619047619</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6</v>
      </c>
      <c r="C18" s="427">
        <f>Datos!AQ18</f>
        <v>6</v>
      </c>
      <c r="D18" s="402">
        <f>IF(ISNUMBER(Datos!M18),Datos!M18," - ")</f>
        <v>96</v>
      </c>
      <c r="E18" s="403">
        <f>IF(ISNUMBER(D18/B18),D18/B18," - ")</f>
        <v>16</v>
      </c>
      <c r="F18" s="402">
        <f>IF(ISNUMBER(Datos!N18),Datos!N18," - ")</f>
        <v>1256</v>
      </c>
      <c r="G18" s="403">
        <f>IF(ISNUMBER(F18/B18),F18/B18," - ")</f>
        <v>209.33333333333334</v>
      </c>
      <c r="H18" s="402">
        <f>IF(ISNUMBER(Datos!O18),Datos!O18," - ")</f>
        <v>10</v>
      </c>
      <c r="I18" s="403">
        <f t="shared" si="5"/>
        <v>1.6666666666666667</v>
      </c>
      <c r="BZ18" s="1181">
        <f>Datos!EZ18</f>
        <v>0</v>
      </c>
    </row>
    <row r="19" spans="1:78" ht="14.25" thickTop="1" thickBot="1">
      <c r="A19" s="845" t="str">
        <f>Datos!A19</f>
        <v>TOTAL</v>
      </c>
      <c r="B19" s="846">
        <f>Datos!AP19</f>
        <v>27</v>
      </c>
      <c r="C19" s="848">
        <f>Datos!AR19</f>
        <v>27</v>
      </c>
      <c r="D19" s="846">
        <f>SUBTOTAL(9,D15:D18)</f>
        <v>2043</v>
      </c>
      <c r="E19" s="847">
        <f t="shared" si="3"/>
        <v>75.666666666666671</v>
      </c>
      <c r="F19" s="846">
        <f>SUBTOTAL(9,F15:F18)</f>
        <v>10570</v>
      </c>
      <c r="G19" s="847">
        <f t="shared" si="4"/>
        <v>391.48148148148147</v>
      </c>
      <c r="H19" s="846">
        <f>SUBTOTAL(9,H15:H18)</f>
        <v>455</v>
      </c>
      <c r="I19" s="847">
        <f>IF(ISNUMBER(H19/B19),H19/B19," - ")</f>
        <v>16.851851851851851</v>
      </c>
      <c r="BZ19" s="1181"/>
    </row>
    <row r="20" spans="1:78" ht="14.25" thickTop="1" thickBot="1">
      <c r="A20" s="790" t="str">
        <f>Datos!A20</f>
        <v>TOTAL JURISDICCIONES</v>
      </c>
      <c r="B20" s="791">
        <f>Datos!AP20</f>
        <v>58</v>
      </c>
      <c r="C20" s="791">
        <f>Datos!AR20</f>
        <v>57</v>
      </c>
      <c r="D20" s="791">
        <f>SUBTOTAL(9,D8:D19)</f>
        <v>6047</v>
      </c>
      <c r="E20" s="792">
        <f>IF(ISNUMBER(D20/B20),D20/B20," - ")</f>
        <v>104.25862068965517</v>
      </c>
      <c r="F20" s="791">
        <f>SUBTOTAL(9,F8:F19)</f>
        <v>17163</v>
      </c>
      <c r="G20" s="792">
        <f>IF(ISNUMBER(F20/B20),F20/B20," - ")</f>
        <v>295.91379310344826</v>
      </c>
      <c r="H20" s="791">
        <f>SUBTOTAL(9,H8:H19)</f>
        <v>5649</v>
      </c>
      <c r="I20" s="792">
        <f>IF(ISNUMBER(H20/B20),H20/B20," - ")</f>
        <v>97.396551724137936</v>
      </c>
    </row>
    <row r="23" spans="1:78">
      <c r="A23" s="390" t="str">
        <f>Criterios!A4</f>
        <v>Fecha Informe: 18 jun. 2026</v>
      </c>
    </row>
    <row r="28" spans="1:78">
      <c r="A28" s="413"/>
    </row>
  </sheetData>
  <sheetProtection algorithmName="SHA-512" hashValue="8BcJTeoZOnngQ77NX2wSVn4sIT79L/GH8R3ghyetyoFUHRFOPeEwA9RNIPPzQ0kZju1SRw/EXMODY3cBbVhZLg==" saltValue="s5k8Ghir9uEEsy5N8E14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VALENCIA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2572</v>
      </c>
      <c r="C9" s="433">
        <f>IF(ISNUMBER(Datos!Q9),Datos!Q9," - ")</f>
        <v>2063</v>
      </c>
      <c r="D9" s="407">
        <f>IF(ISNUMBER(Datos!R9),Datos!R9," - ")</f>
        <v>33122</v>
      </c>
    </row>
    <row r="10" spans="1:4">
      <c r="A10" s="401" t="str">
        <f>Datos!A10</f>
        <v>Sección De Violencia sobre la Mujer del TI</v>
      </c>
      <c r="B10" s="432">
        <f>IF(ISNUMBER(Datos!P10),Datos!P10," - ")</f>
        <v>30</v>
      </c>
      <c r="C10" s="433">
        <f>IF(ISNUMBER(Datos!Q10),Datos!Q10," - ")</f>
        <v>41</v>
      </c>
      <c r="D10" s="407">
        <f>IF(ISNUMBER(Datos!R10),Datos!R10," - ")</f>
        <v>263</v>
      </c>
    </row>
    <row r="11" spans="1:4">
      <c r="A11" s="401" t="str">
        <f>Datos!A11</f>
        <v xml:space="preserve">Sección de Familia, infancia e incapacidad del TI                           </v>
      </c>
      <c r="B11" s="432">
        <f>IF(ISNUMBER(Datos!P11),Datos!P11," - ")</f>
        <v>180</v>
      </c>
      <c r="C11" s="433">
        <f>IF(ISNUMBER(Datos!Q11),Datos!Q11," - ")</f>
        <v>190</v>
      </c>
      <c r="D11" s="407">
        <f>IF(ISNUMBER(Datos!R11),Datos!R11," - ")</f>
        <v>1652</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2782</v>
      </c>
      <c r="C13" s="850">
        <f>SUBTOTAL(9,C9:C12)</f>
        <v>2294</v>
      </c>
      <c r="D13" s="848">
        <f>SUBTOTAL(9,D9:D12)</f>
        <v>35037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769</v>
      </c>
      <c r="C15" s="433">
        <f>IF(ISNUMBER(Datos!Q15),Datos!Q15," - ")</f>
        <v>865</v>
      </c>
      <c r="D15" s="407">
        <f>IF(ISNUMBER(Datos!R15),Datos!R15," - ")</f>
        <v>1958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27</v>
      </c>
      <c r="C18" s="433">
        <f>IF(ISNUMBER(Datos!Q18),Datos!Q18," - ")</f>
        <v>26</v>
      </c>
      <c r="D18" s="407">
        <f>IF(ISNUMBER(Datos!R18),Datos!R18," - ")</f>
        <v>37</v>
      </c>
    </row>
    <row r="19" spans="1:4" ht="14.25" thickTop="1" thickBot="1">
      <c r="A19" s="845" t="str">
        <f>Datos!A19</f>
        <v>TOTAL</v>
      </c>
      <c r="B19" s="846">
        <f>SUBTOTAL(9,B15:B18)</f>
        <v>796</v>
      </c>
      <c r="C19" s="850">
        <f>SUBTOTAL(9,C15:C18)</f>
        <v>891</v>
      </c>
      <c r="D19" s="848">
        <f>SUBTOTAL(9,D15:D18)</f>
        <v>1995</v>
      </c>
    </row>
    <row r="20" spans="1:4" ht="16.5" customHeight="1" thickTop="1" thickBot="1">
      <c r="A20" s="790" t="str">
        <f>Datos!A20</f>
        <v>TOTAL JURISDICCIONES</v>
      </c>
      <c r="B20" s="795">
        <f>SUBTOTAL(9,B8:B19)</f>
        <v>3578</v>
      </c>
      <c r="C20" s="796">
        <f>SUBTOTAL(9,C8:C19)</f>
        <v>3185</v>
      </c>
      <c r="D20" s="797">
        <f>SUBTOTAL(9,D8:D19)</f>
        <v>37032</v>
      </c>
    </row>
    <row r="21" spans="1:4" ht="7.5" customHeight="1"/>
    <row r="22" spans="1:4" ht="6" customHeight="1"/>
    <row r="23" spans="1:4">
      <c r="A23" s="390" t="str">
        <f>Criterios!A4</f>
        <v>Fecha Informe: 18 jun. 2026</v>
      </c>
    </row>
    <row r="28" spans="1:4">
      <c r="A28" s="413"/>
    </row>
  </sheetData>
  <sheetProtection algorithmName="SHA-512" hashValue="9LRegqf71sZMSHgvvAOvL5jXd/5HpXZOe6jVI6dyCpGUHr6piEknVtsYLy93w0AQO/Zfbw5VG7Dj9G3+5HqfTg==" saltValue="6yHStCMsYqh69sNOJNBm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VALENCIA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-6.697600897432629E-2</v>
      </c>
      <c r="C9" s="455">
        <f>IF(ISNUMBER(
   IF(J_V="SI",(Datos!J9-Datos!T9)/Datos!T9,(Datos!J9+Datos!Z9-(Datos!T9+Datos!AH9))/(Datos!T9+Datos!AH9))
     ),IF(J_V="SI",(Datos!J9-Datos!T9)/Datos!T9,(Datos!J9+Datos!Z9-(Datos!T9+Datos!AH9))/(Datos!T9+Datos!AH9))," - ")</f>
        <v>-0.38774332336428985</v>
      </c>
      <c r="D9" s="455">
        <f>IF(ISNUMBER(
   IF(J_V="SI",(Datos!K9-Datos!U9)/Datos!U9,(Datos!K9+Datos!AA9-(Datos!U9+Datos!AI9))/(Datos!U9+Datos!AI9))
     ),IF(J_V="SI",(Datos!K9-Datos!U9)/Datos!U9,(Datos!K9+Datos!AA9-(Datos!U9+Datos!AI9))/(Datos!U9+Datos!AI9))," - ")</f>
        <v>-0.28871423308363009</v>
      </c>
      <c r="E9" s="455">
        <f>IF(ISNUMBER(
   IF(J_V="SI",(Datos!L9-Datos!V9)/Datos!V9,(Datos!L9+Datos!AB9-(Datos!V9+Datos!AJ9))/(Datos!V9+Datos!AJ9))
     ),IF(J_V="SI",(Datos!L9-Datos!V9)/Datos!V9,(Datos!L9+Datos!AB9-(Datos!V9+Datos!AJ9))/(Datos!V9+Datos!AJ9))," - ")</f>
        <v>-0.12187455350764395</v>
      </c>
      <c r="F9" s="455">
        <f>IF(ISNUMBER((Datos!M9-Datos!W9)/Datos!W9),(Datos!M9-Datos!W9)/Datos!W9," - ")</f>
        <v>-9.0094836670179132E-2</v>
      </c>
      <c r="G9" s="456">
        <f>IF(ISNUMBER((Datos!N9-Datos!X9)/Datos!X9),(Datos!N9-Datos!X9)/Datos!X9," - ")</f>
        <v>-0.34632362214655066</v>
      </c>
      <c r="H9" s="454">
        <f>IF(ISNUMBER(((NºAsuntos!G9/NºAsuntos!E9)-Datos!BD9)/Datos!BD9),((NºAsuntos!G9/NºAsuntos!E9)-Datos!BD9)/Datos!BD9," - ")</f>
        <v>0.16174440240458426</v>
      </c>
      <c r="I9" s="455">
        <f>IF(ISNUMBER(((NºAsuntos!I9/NºAsuntos!G9)-Datos!BE9)/Datos!BE9),((NºAsuntos!I9/NºAsuntos!G9)-Datos!BE9)/Datos!BE9," - ")</f>
        <v>0.2345606890171367</v>
      </c>
      <c r="J9" s="460">
        <f>IF(ISNUMBER((('Resol  Asuntos'!D9/NºAsuntos!G9)-Datos!BF9)/Datos!BF9),(('Resol  Asuntos'!D9/NºAsuntos!G9)-Datos!BF9)/Datos!BF9," - ")</f>
        <v>-0.38756528938807056</v>
      </c>
      <c r="K9" s="461">
        <f>IF(ISNUMBER((((NºAsuntos!C9+NºAsuntos!E9)/NºAsuntos!G9)-Datos!BG9)/Datos!BG9),(((NºAsuntos!C9+NºAsuntos!E9)/NºAsuntos!G9)-Datos!BG9)/Datos!BG9," - ")</f>
        <v>0.16427010327098887</v>
      </c>
    </row>
    <row r="10" spans="1:11" ht="21">
      <c r="A10" s="401" t="str">
        <f>Datos!A10</f>
        <v>Sección De Violencia sobre la Mujer del TI</v>
      </c>
      <c r="B10" s="454">
        <f>IF(ISNUMBER((Datos!I10-Datos!S10)/Datos!S10),(Datos!I10-Datos!S10)/Datos!S10," - ")</f>
        <v>9.7345132743362831E-2</v>
      </c>
      <c r="C10" s="455">
        <f>IF(ISNUMBER((Datos!J10-Datos!T10)/Datos!T10),(Datos!J10-Datos!T10)/Datos!T10," - ")</f>
        <v>-9.5022624434389136E-2</v>
      </c>
      <c r="D10" s="455">
        <f>IF(ISNUMBER((Datos!K10-Datos!U10)/Datos!U10),(Datos!K10-Datos!U10)/Datos!U10," - ")</f>
        <v>-6.8181818181818177E-2</v>
      </c>
      <c r="E10" s="455">
        <f>IF(ISNUMBER((Datos!L10-Datos!V10)/Datos!V10),(Datos!L10-Datos!V10)/Datos!V10," - ")</f>
        <v>8.9020771513353122E-2</v>
      </c>
      <c r="F10" s="455">
        <f>IF(ISNUMBER((Datos!M10-Datos!W10)/Datos!W10),(Datos!M10-Datos!W10)/Datos!W10," - ")</f>
        <v>-6.25E-2</v>
      </c>
      <c r="G10" s="456">
        <f>IF(ISNUMBER((Datos!N10-Datos!X10)/Datos!X10),(Datos!N10-Datos!X10)/Datos!X10," - ")</f>
        <v>-8.8235294117647065E-2</v>
      </c>
      <c r="H10" s="454">
        <f>IF(ISNUMBER(((NºAsuntos!G10/NºAsuntos!E10)-Datos!BD10)/Datos!BD10),((NºAsuntos!G10/NºAsuntos!E10)-Datos!BD10)/Datos!BD10," - ")</f>
        <v>2.9659090909090802E-2</v>
      </c>
      <c r="I10" s="455">
        <f>IF(ISNUMBER(((NºAsuntos!I10/NºAsuntos!G10)-Datos!BE10)/Datos!BE10),((NºAsuntos!I10/NºAsuntos!G10)-Datos!BE10)/Datos!BE10," - ")</f>
        <v>0.1687052182094522</v>
      </c>
      <c r="J10" s="460">
        <f>IF(ISNUMBER((('Resol  Asuntos'!D10/NºAsuntos!G10)-Datos!BF10)/Datos!BF10),(('Resol  Asuntos'!D10/NºAsuntos!G10)-Datos!BF10)/Datos!BF10," - ")</f>
        <v>6.097560975609706E-3</v>
      </c>
      <c r="K10" s="461">
        <f>IF(ISNUMBER((((NºAsuntos!C10+NºAsuntos!E10)/NºAsuntos!G10)-Datos!BG10)/Datos!BG10),(((NºAsuntos!C10+NºAsuntos!E10)/NºAsuntos!G10)-Datos!BG10)/Datos!BG10," - ")</f>
        <v>9.6167247386759525E-2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-0.30821917808219179</v>
      </c>
      <c r="C11" s="455">
        <f>IF(ISNUMBER(
   IF(J_V="SI",(Datos!J11-Datos!T11)/Datos!T11,(Datos!J11+Datos!Z11-(Datos!T11+Datos!AH11))/(Datos!T11+Datos!AH11))
     ),IF(J_V="SI",(Datos!J11-Datos!T11)/Datos!T11,(Datos!J11+Datos!Z11-(Datos!T11+Datos!AH11))/(Datos!T11+Datos!AH11))," - ")</f>
        <v>8.6826347305389226E-2</v>
      </c>
      <c r="D11" s="455">
        <f>IF(ISNUMBER(
   IF(J_V="SI",(Datos!K11-Datos!U11)/Datos!U11,(Datos!K11+Datos!AA11-(Datos!U11+Datos!AI11))/(Datos!U11+Datos!AI11))
     ),IF(J_V="SI",(Datos!K11-Datos!U11)/Datos!U11,(Datos!K11+Datos!AA11-(Datos!U11+Datos!AI11))/(Datos!U11+Datos!AI11))," - ")</f>
        <v>4.2950513538748833E-2</v>
      </c>
      <c r="E11" s="455">
        <f>IF(ISNUMBER(
   IF(J_V="SI",(Datos!L11-Datos!V11)/Datos!V11,(Datos!L11+Datos!AB11-(Datos!V11+Datos!AJ11))/(Datos!V11+Datos!AJ11))
     ),IF(J_V="SI",(Datos!L11-Datos!V11)/Datos!V11,(Datos!L11+Datos!AB11-(Datos!V11+Datos!AJ11))/(Datos!V11+Datos!AJ11))," - ")</f>
        <v>-0.23229873908826382</v>
      </c>
      <c r="F11" s="455">
        <f>IF(ISNUMBER((Datos!M11-Datos!W11)/Datos!W11),(Datos!M11-Datos!W11)/Datos!W11," - ")</f>
        <v>-0.11873840445269017</v>
      </c>
      <c r="G11" s="456">
        <f>IF(ISNUMBER((Datos!N11-Datos!X11)/Datos!X11),(Datos!N11-Datos!X11)/Datos!X11," - ")</f>
        <v>0.10209205020920502</v>
      </c>
      <c r="H11" s="454">
        <f>IF(ISNUMBER(((NºAsuntos!G11/NºAsuntos!E11)-Datos!BD11)/Datos!BD11),((NºAsuntos!G11/NºAsuntos!E11)-Datos!BD11)/Datos!BD11," - ")</f>
        <v>-4.0370601867928041E-2</v>
      </c>
      <c r="I11" s="455">
        <f>IF(ISNUMBER(((NºAsuntos!I11/NºAsuntos!G11)-Datos!BE11)/Datos!BE11),((NºAsuntos!I11/NºAsuntos!G11)-Datos!BE11)/Datos!BE11," - ")</f>
        <v>-0.26391401035231027</v>
      </c>
      <c r="J11" s="460">
        <f>IF(ISNUMBER((('Resol  Asuntos'!D11/NºAsuntos!G11)-Datos!BF11)/Datos!BF11),(('Resol  Asuntos'!D11/NºAsuntos!G11)-Datos!BF11)/Datos!BF11," - ")</f>
        <v>-0.61887976985574789</v>
      </c>
      <c r="K11" s="461">
        <f>IF(ISNUMBER((((NºAsuntos!C11+NºAsuntos!E11)/NºAsuntos!G11)-Datos!BG11)/Datos!BG11),(((NºAsuntos!C11+NºAsuntos!E11)/NºAsuntos!G11)-Datos!BG11)/Datos!BG11," - ")</f>
        <v>-0.16180726023045594</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-7.9096854265120059E-2</v>
      </c>
      <c r="C13" s="852">
        <f>IF(ISNUMBER(
   IF(J_V="SI",(Datos!J13-Datos!T13)/Datos!T13,(Datos!J13+Datos!Z13-(Datos!T13+Datos!AH13))/(Datos!T13+Datos!AH13))
     ),IF(J_V="SI",(Datos!J13-Datos!T13)/Datos!T13,(Datos!J13+Datos!Z13-(Datos!T13+Datos!AH13))/(Datos!T13+Datos!AH13))," - ")</f>
        <v>-0.34002067280586357</v>
      </c>
      <c r="D13" s="852">
        <f>IF(ISNUMBER(
   IF(J_V="SI",(Datos!K13-Datos!U13)/Datos!U13,(Datos!K13+Datos!AA13-(Datos!U13+Datos!AI13))/(Datos!U13+Datos!AI13))
     ),IF(J_V="SI",(Datos!K13-Datos!U13)/Datos!U13,(Datos!K13+Datos!AA13-(Datos!U13+Datos!AI13))/(Datos!U13+Datos!AI13))," - ")</f>
        <v>-0.24801587301587302</v>
      </c>
      <c r="E13" s="852">
        <f>IF(ISNUMBER(
   IF(J_V="SI",(Datos!L13-Datos!V13)/Datos!V13,(Datos!L13+Datos!AB13-(Datos!V13+Datos!AJ13))/(Datos!V13+Datos!AJ13))
     ),IF(J_V="SI",(Datos!L13-Datos!V13)/Datos!V13,(Datos!L13+Datos!AB13-(Datos!V13+Datos!AJ13))/(Datos!V13+Datos!AJ13))," - ")</f>
        <v>-0.12540265357150901</v>
      </c>
      <c r="F13" s="853">
        <f>IF(ISNUMBER((Datos!M13-Datos!W13)/Datos!W13),(Datos!M13-Datos!W13)/Datos!W13," - ")</f>
        <v>-9.3091732729331828E-2</v>
      </c>
      <c r="G13" s="854">
        <f>IF(ISNUMBER((Datos!N13-Datos!X13)/Datos!X13),(Datos!N13-Datos!X13)/Datos!X13," - ")</f>
        <v>-0.28538911771081726</v>
      </c>
      <c r="H13" s="854">
        <f>IF(ISNUMBER(((NºAsuntos!G13/NºAsuntos!E13)-Datos!BD13)/Datos!BD13),((NºAsuntos!G13/NºAsuntos!E13)-Datos!BD13)/Datos!BD13," - ")</f>
        <v>0.13940557832492051</v>
      </c>
      <c r="I13" s="854">
        <f>IF(ISNUMBER(((NºAsuntos!I13/NºAsuntos!G13)-Datos!BE13)/Datos!BE13),((NºAsuntos!I13/NºAsuntos!G13)-Datos!BE13)/Datos!BE13," - ")</f>
        <v>0.1630529356199458</v>
      </c>
      <c r="J13" s="854">
        <f>IF(ISNUMBER((('Resol  Asuntos'!D13/NºAsuntos!G13)-Datos!BF13)/Datos!BF13),(('Resol  Asuntos'!D13/NºAsuntos!G13)-Datos!BF13)/Datos!BF13," - ")</f>
        <v>-0.42149277760386383</v>
      </c>
      <c r="K13" s="854">
        <f>IF(ISNUMBER((((NºAsuntos!C13+NºAsuntos!E13)/NºAsuntos!G13)-Datos!BG13)/Datos!BG13),(((NºAsuntos!C13+NºAsuntos!E13)/NºAsuntos!G13)-Datos!BG13)/Datos!BG13," - ")</f>
        <v>0.10774444042335621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0.15542472666105972</v>
      </c>
      <c r="C15" s="455">
        <f>IF(ISNUMBER(
   IF(D_I="SI",(Datos!J15-Datos!T15)/Datos!T15,(Datos!J15+Datos!AD15-(Datos!T15+Datos!AL15))/(Datos!T15+Datos!AL15))
     ),IF(D_I="SI",(Datos!J15-Datos!T15)/Datos!T15,(Datos!J15+Datos!AD15-(Datos!T15+Datos!AL15))/(Datos!T15+Datos!AL15))," - ")</f>
        <v>2.0640917996081726E-2</v>
      </c>
      <c r="D15" s="455">
        <f>IF(ISNUMBER(
   IF(D_I="SI",(Datos!K15-Datos!U15)/Datos!U15,(Datos!K15+Datos!AE15-(Datos!U15+Datos!AM15))/(Datos!U15+Datos!AM15))
     ),IF(D_I="SI",(Datos!K15-Datos!U15)/Datos!U15,(Datos!K15+Datos!AE15-(Datos!U15+Datos!AM15))/(Datos!U15+Datos!AM15))," - ")</f>
        <v>-5.0622793578898291E-3</v>
      </c>
      <c r="E15" s="455">
        <f>IF(ISNUMBER(
   IF(D_I="SI",(Datos!L15-Datos!V15)/Datos!V15,(Datos!L15+Datos!AF15-(Datos!V15+Datos!AN15))/(Datos!V15+Datos!AN15))
     ),IF(D_I="SI",(Datos!L15-Datos!V15)/Datos!V15,(Datos!L15+Datos!AF15-(Datos!V15+Datos!AN15))/(Datos!V15+Datos!AN15))," - ")</f>
        <v>0.19027558364051256</v>
      </c>
      <c r="F15" s="455">
        <f>IF(ISNUMBER((Datos!M15-Datos!W15)/Datos!W15),(Datos!M15-Datos!W15)/Datos!W15," - ")</f>
        <v>-0.14978165938864629</v>
      </c>
      <c r="G15" s="456">
        <f>IF(ISNUMBER((Datos!N15-Datos!X15)/Datos!X15),(Datos!N15-Datos!X15)/Datos!X15," - ")</f>
        <v>0.15258012622200223</v>
      </c>
      <c r="H15" s="454">
        <f>IF(ISNUMBER(((NºAsuntos!G15/NºAsuntos!E15)-Datos!BD15)/Datos!BD15),((NºAsuntos!G15/NºAsuntos!E15)-Datos!BD15)/Datos!BD15," - ")</f>
        <v>-2.5183389085004431E-2</v>
      </c>
      <c r="I15" s="455">
        <f>IF(ISNUMBER(((NºAsuntos!I15/NºAsuntos!G15)-Datos!BE15)/Datos!BE15),((NºAsuntos!I15/NºAsuntos!G15)-Datos!BE15)/Datos!BE15," - ")</f>
        <v>0.19633174915947071</v>
      </c>
      <c r="J15" s="460">
        <f>IF(ISNUMBER((('Resol  Asuntos'!D15/NºAsuntos!G15)-Datos!BF15)/Datos!BF15),(('Resol  Asuntos'!D15/NºAsuntos!G15)-Datos!BF15)/Datos!BF15," - ")</f>
        <v>-0.14545571750697903</v>
      </c>
      <c r="K15" s="461">
        <f>IF(ISNUMBER((((NºAsuntos!C15+NºAsuntos!E15)/NºAsuntos!G15)-Datos!BG15)/Datos!BG15),(((NºAsuntos!C15+NºAsuntos!E15)/NºAsuntos!G15)-Datos!BG15)/Datos!BG15," - ")</f>
        <v>8.7354618882667365E-2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-7.2958500669344048E-2</v>
      </c>
      <c r="C18" s="455">
        <f>IF(ISNUMBER(
   IF(D_I="SI",(Datos!J18-Datos!T18)/Datos!T18,(Datos!J18+Datos!AD18-(Datos!T18+Datos!AL18))/(Datos!T18+Datos!AL18))
     ),IF(D_I="SI",(Datos!J18-Datos!T18)/Datos!T18,(Datos!J18+Datos!AD18-(Datos!T18+Datos!AL18))/(Datos!T18+Datos!AL18))," - ")</f>
        <v>5.5165496489468406E-3</v>
      </c>
      <c r="D18" s="455">
        <f>IF(ISNUMBER(
   IF(D_I="SI",(Datos!K18-Datos!U18)/Datos!U18,(Datos!K18+Datos!AE18-(Datos!U18+Datos!AM18))/(Datos!U18+Datos!AM18))
     ),IF(D_I="SI",(Datos!K18-Datos!U18)/Datos!U18,(Datos!K18+Datos!AE18-(Datos!U18+Datos!AM18))/(Datos!U18+Datos!AM18))," - ")</f>
        <v>-0.12422949265054528</v>
      </c>
      <c r="E18" s="455">
        <f>IF(ISNUMBER(
   IF(D_I="SI",(Datos!L18-Datos!V18)/Datos!V18,(Datos!L18+Datos!AF18-(Datos!V18+Datos!AN18))/(Datos!V18+Datos!AN18))
     ),IF(D_I="SI",(Datos!L18-Datos!V18)/Datos!V18,(Datos!L18+Datos!AF18-(Datos!V18+Datos!AN18))/(Datos!V18+Datos!AN18))," - ")</f>
        <v>6.0606060606060608E-2</v>
      </c>
      <c r="F18" s="455">
        <f>IF(ISNUMBER((Datos!M18-Datos!W18)/Datos!W18),(Datos!M18-Datos!W18)/Datos!W18," - ")</f>
        <v>-0.21311475409836064</v>
      </c>
      <c r="G18" s="456">
        <f>IF(ISNUMBER((Datos!N18-Datos!X18)/Datos!X18),(Datos!N18-Datos!X18)/Datos!X18," - ")</f>
        <v>-6.9629629629629625E-2</v>
      </c>
      <c r="H18" s="454">
        <f>IF(ISNUMBER(((NºAsuntos!G18/NºAsuntos!E18)-Datos!BD18)/Datos!BD18),((NºAsuntos!G18/NºAsuntos!E18)-Datos!BD18)/Datos!BD18," - ")</f>
        <v>-0.12903421862602857</v>
      </c>
      <c r="I18" s="455">
        <f>IF(ISNUMBER(((NºAsuntos!I18/NºAsuntos!G18)-Datos!BE18)/Datos!BE18),((NºAsuntos!I18/NºAsuntos!G18)-Datos!BE18)/Datos!BE18," - ")</f>
        <v>0.21105478170989816</v>
      </c>
      <c r="J18" s="460">
        <f>IF(ISNUMBER((('Resol  Asuntos'!D18/NºAsuntos!G18)-Datos!BF18)/Datos!BF18),(('Resol  Asuntos'!D18/NºAsuntos!G18)-Datos!BF18)/Datos!BF18," - ")</f>
        <v>-0.10149378256277349</v>
      </c>
      <c r="K18" s="461">
        <f>IF(ISNUMBER((((NºAsuntos!C18+NºAsuntos!E18)/NºAsuntos!G18)-Datos!BG18)/Datos!BG18),(((NºAsuntos!C18+NºAsuntos!E18)/NºAsuntos!G18)-Datos!BG18)/Datos!BG18," - ")</f>
        <v>0.10976981020549066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0.12993126120741183</v>
      </c>
      <c r="C19" s="852">
        <f>IF(ISNUMBER(
   IF(Criterios!B14="SI",(Datos!J19-Datos!T19)/Datos!T19,(Datos!J19+Datos!AD19-(Datos!T19+Datos!AL19))/(Datos!T19+Datos!AL19))
     ),IF(Criterios!B14="SI",(Datos!J19-Datos!T19)/Datos!T19,(Datos!J19+Datos!AD19-(Datos!T19+Datos!AL19))/(Datos!T19+Datos!AL19))," - ")</f>
        <v>1.8789144050104383E-2</v>
      </c>
      <c r="D19" s="852">
        <f>IF(ISNUMBER(
   IF(Criterios!B14="SI",(Datos!K19-Datos!U19)/Datos!U19,(Datos!K19+Datos!AE19-(Datos!U19+Datos!AM19))/(Datos!U19+Datos!AM19))
     ),IF(Criterios!B14="SI",(Datos!K19-Datos!U19)/Datos!U19,(Datos!K19+Datos!AE19-(Datos!U19+Datos!AM19))/(Datos!U19+Datos!AM19))," - ")</f>
        <v>-1.9740684499474359E-2</v>
      </c>
      <c r="E19" s="852">
        <f>IF(ISNUMBER(
   IF(Criterios!B14="SI",(Datos!L19-Datos!V19)/Datos!V19,(Datos!L19+Datos!AF19-(Datos!V19+Datos!AN19))/(Datos!V19+Datos!AN19))
     ),IF(Criterios!B14="SI",(Datos!L19-Datos!V19)/Datos!V19,(Datos!L19+Datos!AF19-(Datos!V19+Datos!AN19))/(Datos!V19+Datos!AN19))," - ")</f>
        <v>0.17621283255086073</v>
      </c>
      <c r="F19" s="853">
        <f>IF(ISNUMBER((Datos!M19-Datos!W19)/Datos!W19),(Datos!M19-Datos!W19)/Datos!W19," - ")</f>
        <v>-0.15298507462686567</v>
      </c>
      <c r="G19" s="854">
        <f>IF(ISNUMBER((Datos!N19-Datos!X19)/Datos!X19),(Datos!N19-Datos!X19)/Datos!X19," - ")</f>
        <v>0.12077192238362847</v>
      </c>
      <c r="H19" s="854">
        <f>IF(ISNUMBER(((NºAsuntos!G19/NºAsuntos!E19)-Datos!BD19)/Datos!BD19),((NºAsuntos!G19/NºAsuntos!E19)-Datos!BD19)/Datos!BD19," - ")</f>
        <v>-3.781923744927905E-2</v>
      </c>
      <c r="I19" s="854">
        <f>IF(ISNUMBER(((NºAsuntos!I19/NºAsuntos!G19)-Datos!BE19)/Datos!BE19),((NºAsuntos!I19/NºAsuntos!G19)-Datos!BE19)/Datos!BE19," - ")</f>
        <v>0.19989967343516662</v>
      </c>
      <c r="J19" s="854">
        <f>IF(ISNUMBER((('Resol  Asuntos'!D19/NºAsuntos!G19)-Datos!BF19)/Datos!BF19),(('Resol  Asuntos'!D19/NºAsuntos!G19)-Datos!BF19)/Datos!BF19," - ")</f>
        <v>-0.13592769588662965</v>
      </c>
      <c r="K19" s="854">
        <f>IF(ISNUMBER((((NºAsuntos!C19+NºAsuntos!E19)/NºAsuntos!G19)-Datos!BG19)/Datos!BG19),(((NºAsuntos!C19+NºAsuntos!E19)/NºAsuntos!G19)-Datos!BG19)/Datos!BG19," - ")</f>
        <v>9.0451090852250518E-2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-2.8490286169096633E-2</v>
      </c>
      <c r="C20" s="799">
        <f>IF(ISNUMBER(
   IF(J_V="SI",(Datos!J20-Datos!T20)/Datos!T20,(Datos!J20+Datos!Z20-(Datos!T20+Datos!AH20))/(Datos!T20+Datos!AH20))
     ),IF(J_V="SI",(Datos!J20-Datos!T20)/Datos!T20,(Datos!J20+Datos!Z20-(Datos!T20+Datos!AH20))/(Datos!T20+Datos!AH20))," - ")</f>
        <v>-0.18448229970721319</v>
      </c>
      <c r="D20" s="799">
        <f>IF(ISNUMBER(
   IF(J_V="SI",(Datos!K20-Datos!U20)/Datos!U20,(Datos!K20+Datos!AA20-(Datos!U20+Datos!AI20))/(Datos!U20+Datos!AI20))
     ),IF(J_V="SI",(Datos!K20-Datos!U20)/Datos!U20,(Datos!K20+Datos!AA20-(Datos!U20+Datos!AI20))/(Datos!U20+Datos!AI20))," - ")</f>
        <v>-0.13874755381604698</v>
      </c>
      <c r="E20" s="799">
        <f>IF(ISNUMBER(
   IF(J_V="SI",(Datos!L20-Datos!V20)/Datos!V20,(Datos!L20+Datos!AB20-(Datos!V20+Datos!AJ20))/(Datos!V20+Datos!AJ20))
     ),IF(J_V="SI",(Datos!L20-Datos!V20)/Datos!V20,(Datos!L20+Datos!AB20-(Datos!V20+Datos!AJ20))/(Datos!V20+Datos!AJ20))," - ")</f>
        <v>-5.7981914540080108E-2</v>
      </c>
      <c r="F20" s="800">
        <f>IF(ISNUMBER((Datos!M20-Datos!W20)/Datos!W20),(Datos!M20-Datos!W20)/Datos!W20," - ")</f>
        <v>-0.11425223377764758</v>
      </c>
      <c r="G20" s="801">
        <f>IF(ISNUMBER((Datos!N20-Datos!X20)/Datos!X20),(Datos!N20-Datos!X20)/Datos!X20," - ")</f>
        <v>-8.0077182826821039E-2</v>
      </c>
      <c r="H20" s="802">
        <f>IF(ISNUMBER((Tasas!B20-Datos!BD20)/Datos!BD20),(Tasas!B20-Datos!BD20)/Datos!BD20," - ")</f>
        <v>5.6080629365550999E-2</v>
      </c>
      <c r="I20" s="803">
        <f>IF(ISNUMBER((Tasas!C20-Datos!BE20)/Datos!BE20),(Tasas!C20-Datos!BE20)/Datos!BE20," - ")</f>
        <v>9.3776963576503253E-2</v>
      </c>
      <c r="J20" s="804">
        <f>IF(ISNUMBER((Tasas!D20-Datos!BF20)/Datos!BF20),(Tasas!D20-Datos!BF20)/Datos!BF20," - ")</f>
        <v>-0.39556041764863109</v>
      </c>
      <c r="K20" s="804">
        <f>IF(ISNUMBER((Tasas!E20-Datos!BG20)/Datos!BG20),(Tasas!E20-Datos!BG20)/Datos!BG20," - ")</f>
        <v>5.4733549285866698E-2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g/KUdt+kqqmRfZHQMfmSOtcG60mVKjffbRIGYMFSB1YNDVgI/aq7Rs/2YkE+5UoQUDTrU0kmSZSN3C0dj80hA==" saltValue="2c6CJJ7UdPDogkd6E1bhz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VALENCIA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0.99271574256577255</v>
      </c>
      <c r="C9" s="442">
        <f>IF(ISNUMBER(NºAsuntos!I9/NºAsuntos!G9),NºAsuntos!I9/NºAsuntos!G9," - ")</f>
        <v>3.1833563535911602</v>
      </c>
      <c r="D9" s="443">
        <f>IF(ISNUMBER('Resol  Asuntos'!D9/NºAsuntos!G9),'Resol  Asuntos'!D9/NºAsuntos!G9," - ")</f>
        <v>0.29816988950276241</v>
      </c>
      <c r="E9" s="444">
        <f>IF(ISNUMBER((NºAsuntos!C9+NºAsuntos!E9)/NºAsuntos!G9),(NºAsuntos!C9+NºAsuntos!E9)/NºAsuntos!G9," - ")</f>
        <v>4.1665227900552484</v>
      </c>
      <c r="G9" s="462"/>
    </row>
    <row r="10" spans="1:7" ht="21">
      <c r="A10" s="401" t="str">
        <f>Datos!A10</f>
        <v>Sección De Violencia sobre la Mujer del TI</v>
      </c>
      <c r="B10" s="441">
        <f>IF(ISNUMBER(NºAsuntos!G10/NºAsuntos!E10),NºAsuntos!G10/NºAsuntos!E10," - ")</f>
        <v>1.0249999999999999</v>
      </c>
      <c r="C10" s="442">
        <f>IF(ISNUMBER(NºAsuntos!I10/NºAsuntos!G10),NºAsuntos!I10/NºAsuntos!G10," - ")</f>
        <v>1.7902439024390244</v>
      </c>
      <c r="D10" s="443">
        <f>IF(ISNUMBER('Resol  Asuntos'!D10/NºAsuntos!G10),'Resol  Asuntos'!D10/NºAsuntos!G10," - ")</f>
        <v>0.36585365853658536</v>
      </c>
      <c r="E10" s="444">
        <f>IF(ISNUMBER((NºAsuntos!C10+NºAsuntos!E10)/NºAsuntos!G10),(NºAsuntos!C10+NºAsuntos!E10)/NºAsuntos!G10," - ")</f>
        <v>2.7902439024390242</v>
      </c>
      <c r="G10" s="462"/>
    </row>
    <row r="11" spans="1:7" ht="21">
      <c r="A11" s="401" t="str">
        <f>Datos!A11</f>
        <v xml:space="preserve">Sección de Familia, infancia e incapacidad del TI                           </v>
      </c>
      <c r="B11" s="441">
        <f>IF(ISNUMBER(NºAsuntos!G11/NºAsuntos!E11),NºAsuntos!G11/NºAsuntos!E11," - ")</f>
        <v>1.0257116620752984</v>
      </c>
      <c r="C11" s="442">
        <f>IF(ISNUMBER(NºAsuntos!I11/NºAsuntos!G11),NºAsuntos!I11/NºAsuntos!G11," - ")</f>
        <v>0.70859444941808414</v>
      </c>
      <c r="D11" s="443">
        <f>IF(ISNUMBER('Resol  Asuntos'!D11/NºAsuntos!G11),'Resol  Asuntos'!D11/NºAsuntos!G11," - ")</f>
        <v>0.21262309758281109</v>
      </c>
      <c r="E11" s="444">
        <f>IF(ISNUMBER((NºAsuntos!C11+NºAsuntos!E11)/NºAsuntos!G11),(NºAsuntos!C11+NºAsuntos!E11)/NºAsuntos!G11," - ")</f>
        <v>1.6982990152193376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0.99829145013170073</v>
      </c>
      <c r="C13" s="856">
        <f>IF(ISNUMBER(NºAsuntos!I13/NºAsuntos!G13),NºAsuntos!I13/NºAsuntos!G13," - ")</f>
        <v>2.7687370748056765</v>
      </c>
      <c r="D13" s="857">
        <f>IF(ISNUMBER('Resol  Asuntos'!D13/NºAsuntos!G13),'Resol  Asuntos'!D13/NºAsuntos!G13," - ")</f>
        <v>0.28553091349925125</v>
      </c>
      <c r="E13" s="858">
        <f>IF(ISNUMBER((NºAsuntos!C13+NºAsuntos!E13)/NºAsuntos!G13),(NºAsuntos!C13+NºAsuntos!E13)/NºAsuntos!G13," - ")</f>
        <v>3.753191185908864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1.0239939672310963</v>
      </c>
      <c r="C15" s="442">
        <f>IF(ISNUMBER(NºAsuntos!I15/NºAsuntos!G15),NºAsuntos!I15/NºAsuntos!G15," - ")</f>
        <v>0.90794670951328915</v>
      </c>
      <c r="D15" s="443">
        <f>IF(ISNUMBER('Resol  Asuntos'!D15/NºAsuntos!G15),'Resol  Asuntos'!D15/NºAsuntos!G15," - ")</f>
        <v>0.13034745932918257</v>
      </c>
      <c r="E15" s="444">
        <f>IF(ISNUMBER((NºAsuntos!C15+NºAsuntos!E15)/NºAsuntos!G15),(NºAsuntos!C15+NºAsuntos!E15)/NºAsuntos!G15," - ")</f>
        <v>1.8962977840262436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0.92119700748129674</v>
      </c>
      <c r="C18" s="442">
        <f>IF(ISNUMBER(NºAsuntos!I18/NºAsuntos!G18),NºAsuntos!I18/NºAsuntos!G18," - ")</f>
        <v>0.79588521927449918</v>
      </c>
      <c r="D18" s="443">
        <f>IF(ISNUMBER('Resol  Asuntos'!D18/NºAsuntos!G18),'Resol  Asuntos'!D18/NºAsuntos!G18," - ")</f>
        <v>5.1976177585273418E-2</v>
      </c>
      <c r="E18" s="444">
        <f>IF(ISNUMBER((NºAsuntos!C18+NºAsuntos!E18)/NºAsuntos!G18),(NºAsuntos!C18+NºAsuntos!E18)/NºAsuntos!G18," - ")</f>
        <v>1.8354087709799676</v>
      </c>
      <c r="G18" s="462"/>
    </row>
    <row r="19" spans="1:7" ht="14.25" thickTop="1" thickBot="1">
      <c r="A19" s="845" t="str">
        <f>Datos!A19</f>
        <v>TOTAL</v>
      </c>
      <c r="B19" s="855">
        <f>IF(ISNUMBER(NºAsuntos!G19/NºAsuntos!E19),NºAsuntos!G19/NºAsuntos!E19," - ")</f>
        <v>1.0115718418514947</v>
      </c>
      <c r="C19" s="856">
        <f>IF(ISNUMBER(NºAsuntos!I19/NºAsuntos!G19),NºAsuntos!I19/NºAsuntos!G19," - ")</f>
        <v>0.8956148713060057</v>
      </c>
      <c r="D19" s="859">
        <f>IF(ISNUMBER('Resol  Asuntos'!D19/NºAsuntos!G19),'Resol  Asuntos'!D19/NºAsuntos!G19," - ")</f>
        <v>0.1217230695900858</v>
      </c>
      <c r="E19" s="858">
        <f>IF(ISNUMBER((NºAsuntos!C19+NºAsuntos!E19)/NºAsuntos!G19),(NºAsuntos!C19+NºAsuntos!E19)/NºAsuntos!G19," - ")</f>
        <v>1.8895972354623451</v>
      </c>
      <c r="G19" s="462"/>
    </row>
    <row r="20" spans="1:7" ht="15.75" customHeight="1" thickTop="1" thickBot="1">
      <c r="A20" s="790" t="str">
        <f>Datos!A20</f>
        <v>TOTAL JURISDICCIONES</v>
      </c>
      <c r="B20" s="805">
        <f>IF(ISNUMBER(NºAsuntos!G20/NºAsuntos!E20),NºAsuntos!G20/NºAsuntos!E20," - ")</f>
        <v>1.0054832076764908</v>
      </c>
      <c r="C20" s="806">
        <f>IF(ISNUMBER(NºAsuntos!I20/NºAsuntos!G20),NºAsuntos!I20/NºAsuntos!G20," - ")</f>
        <v>1.7482390365825948</v>
      </c>
      <c r="D20" s="807">
        <f>IF(ISNUMBER('Resol  Asuntos'!D20/NºAsuntos!G20),'Resol  Asuntos'!D20/NºAsuntos!G20," - ")</f>
        <v>0.19628655824974844</v>
      </c>
      <c r="E20" s="808">
        <f>IF(ISNUMBER((NºAsuntos!C20+NºAsuntos!E20)/NºAsuntos!G20),(NºAsuntos!C20+NºAsuntos!E20)/NºAsuntos!G20," - ")</f>
        <v>2.7378842470867011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GfgjMCWLSDx2OPKiwhwhJBvSiGS1gMMuc7SQxNk18hv1+fIkjYFBUI7N2WdfpppSsOOzl2n0WTHc9RI0/HijA==" saltValue="0e5EREtb29rrpN6+8Wdn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VALENCIA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24</v>
      </c>
      <c r="B9" s="176" t="s">
        <v>247</v>
      </c>
      <c r="C9" s="159" t="str">
        <f>Datos!A9</f>
        <v>Sección Civil del T.I</v>
      </c>
      <c r="D9" s="159"/>
      <c r="E9" s="1020">
        <f>IF(ISNUMBER(Datos!AQ9),Datos!AQ9," - ")</f>
        <v>24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2572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2063</v>
      </c>
      <c r="Y9" s="333">
        <f>SUM(W9:X9)</f>
        <v>2063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33122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3454</v>
      </c>
      <c r="AJ9" s="228" t="str">
        <f>IF(ISNUMBER(Datos!BW9),Datos!BW9," - ")</f>
        <v xml:space="preserve"> - </v>
      </c>
      <c r="AK9" s="227" t="str">
        <f>IF(ISNUMBER(Datos!BX9),Datos!BX9," - ")</f>
        <v xml:space="preserve"> - </v>
      </c>
      <c r="AL9" s="242">
        <f>IF(ISNUMBER(NºAsuntos!G9/NºAsuntos!E9),NºAsuntos!G9/NºAsuntos!E9," - ")</f>
        <v>0.99271574256577255</v>
      </c>
      <c r="AM9" s="259">
        <f>IF(ISNUMBER(((NºAsuntos!I9/NºAsuntos!G9)*11)/factor_trimestre),((NºAsuntos!I9/NºAsuntos!G9)*11)/factor_trimestre," - ")</f>
        <v>9.5500690607734793</v>
      </c>
      <c r="AN9" s="243">
        <f>IF(ISNUMBER('Resol  Asuntos'!D9/NºAsuntos!G9),'Resol  Asuntos'!D9/NºAsuntos!G9," - ")</f>
        <v>0.29816988950276241</v>
      </c>
      <c r="AO9" s="244">
        <f>IF(ISNUMBER((NºAsuntos!C9+NºAsuntos!E9)/NºAsuntos!G9),(NºAsuntos!C9+NºAsuntos!E9)/NºAsuntos!G9," - ")</f>
        <v>4.1665227900552484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6</v>
      </c>
      <c r="B10" s="274" t="s">
        <v>247</v>
      </c>
      <c r="C10" s="7" t="str">
        <f>Datos!A10</f>
        <v>Sección De Violencia sobre la Mujer del TI</v>
      </c>
      <c r="D10" s="7"/>
      <c r="E10" s="1020">
        <f>IF(ISNUMBER(Datos!AQ10),Datos!AQ10," - ")</f>
        <v>6</v>
      </c>
      <c r="F10" s="224">
        <f>IF(ISNUMBER(Datos!L10+Datos!K10-Datos!J10-K10),Datos!L10+Datos!K10-Datos!J10-K10," - ")</f>
        <v>372</v>
      </c>
      <c r="G10" s="332">
        <f>IF(ISNUMBER(Datos!I10),Datos!I10," - ")</f>
        <v>372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205</v>
      </c>
      <c r="X10" s="225">
        <f>IF(ISNUMBER(Datos!Q10),Datos!Q10," - ")</f>
        <v>41</v>
      </c>
      <c r="Y10" s="333">
        <f t="shared" ref="Y10:Y12" si="0">SUM(W10:X10)</f>
        <v>246</v>
      </c>
      <c r="Z10" s="334" t="str">
        <f>IF(ISNUMBER(Datos!CC10),Datos!CC10," - ")</f>
        <v xml:space="preserve"> - </v>
      </c>
      <c r="AA10" s="331">
        <f>IF(ISNUMBER(Datos!L10),Datos!L10,"-")</f>
        <v>367</v>
      </c>
      <c r="AB10" s="333">
        <f>IF(ISNUMBER(Datos!R10),Datos!R10," - ")</f>
        <v>263</v>
      </c>
      <c r="AC10" s="333">
        <f t="shared" ref="AC10:AC12" si="1">IF(ISNUMBER(AA10+AB10),AA10+AB10," - ")</f>
        <v>630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75</v>
      </c>
      <c r="AJ10" s="230" t="str">
        <f>IF(ISNUMBER(Datos!BW10),Datos!BW10," - ")</f>
        <v xml:space="preserve"> - </v>
      </c>
      <c r="AK10" s="231" t="str">
        <f>IF(ISNUMBER(Datos!BX10),Datos!BX10," - ")</f>
        <v xml:space="preserve"> - </v>
      </c>
      <c r="AL10" s="242">
        <f>IF(ISNUMBER(NºAsuntos!G10/NºAsuntos!E10),NºAsuntos!G10/NºAsuntos!E10," - ")</f>
        <v>1.0249999999999999</v>
      </c>
      <c r="AM10" s="259">
        <f>IF(ISNUMBER(((NºAsuntos!I10/NºAsuntos!G10)*11)/factor_trimestre),((NºAsuntos!I10/NºAsuntos!G10)*11)/factor_trimestre," - ")</f>
        <v>5.3707317073170735</v>
      </c>
      <c r="AN10" s="243">
        <f>IF(ISNUMBER('Resol  Asuntos'!D10/NºAsuntos!G10),'Resol  Asuntos'!D10/NºAsuntos!G10," - ")</f>
        <v>0.36585365853658536</v>
      </c>
      <c r="AO10" s="244">
        <f>IF(ISNUMBER((NºAsuntos!C10+NºAsuntos!E10)/NºAsuntos!G10),(NºAsuntos!C10+NºAsuntos!E10)/NºAsuntos!G10," - ")</f>
        <v>2.7902439024390242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7</v>
      </c>
      <c r="B11" s="274" t="s">
        <v>247</v>
      </c>
      <c r="C11" s="7" t="str">
        <f>Datos!A11</f>
        <v xml:space="preserve">Sección de Familia, infancia e incapacidad del TI                           </v>
      </c>
      <c r="D11" s="7"/>
      <c r="E11" s="1020">
        <f>IF(ISNUMBER(Datos!AQ11),Datos!AQ11," - ")</f>
        <v>6</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180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190</v>
      </c>
      <c r="Y11" s="333">
        <f t="shared" si="0"/>
        <v>190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1652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475</v>
      </c>
      <c r="AJ11" s="230" t="str">
        <f>IF(ISNUMBER(Datos!BW11),Datos!BW11," - ")</f>
        <v xml:space="preserve"> - </v>
      </c>
      <c r="AK11" s="231" t="str">
        <f>IF(ISNUMBER(Datos!BX11),Datos!BX11," - ")</f>
        <v xml:space="preserve"> - </v>
      </c>
      <c r="AL11" s="242">
        <f>IF(ISNUMBER(NºAsuntos!G11/NºAsuntos!E11),NºAsuntos!G11/NºAsuntos!E11," - ")</f>
        <v>1.0257116620752984</v>
      </c>
      <c r="AM11" s="259">
        <f>IF(ISNUMBER(((NºAsuntos!I11/NºAsuntos!G11)*11)/factor_trimestre),((NºAsuntos!I11/NºAsuntos!G11)*11)/factor_trimestre," - ")</f>
        <v>2.1257833482542523</v>
      </c>
      <c r="AN11" s="243">
        <f>IF(ISNUMBER('Resol  Asuntos'!D11/NºAsuntos!G11),'Resol  Asuntos'!D11/NºAsuntos!G11," - ")</f>
        <v>0.21262309758281109</v>
      </c>
      <c r="AO11" s="244">
        <f>IF(ISNUMBER((NºAsuntos!C11+NºAsuntos!E11)/NºAsuntos!G11),(NºAsuntos!C11+NºAsuntos!E11)/NºAsuntos!G11," - ")</f>
        <v>1.6982990152193376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36</v>
      </c>
      <c r="F13" s="862">
        <f t="shared" si="3"/>
        <v>372</v>
      </c>
      <c r="G13" s="863">
        <f t="shared" si="3"/>
        <v>372</v>
      </c>
      <c r="H13" s="862">
        <f t="shared" si="3"/>
        <v>0</v>
      </c>
      <c r="I13" s="864">
        <f t="shared" si="3"/>
        <v>0</v>
      </c>
      <c r="J13" s="864">
        <f t="shared" si="3"/>
        <v>0</v>
      </c>
      <c r="K13" s="864">
        <f t="shared" si="3"/>
        <v>0</v>
      </c>
      <c r="L13" s="864">
        <f t="shared" si="3"/>
        <v>2782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205</v>
      </c>
      <c r="X13" s="864">
        <f t="shared" si="4"/>
        <v>2294</v>
      </c>
      <c r="Y13" s="865">
        <f t="shared" si="4"/>
        <v>2499</v>
      </c>
      <c r="Z13" s="865">
        <f t="shared" si="4"/>
        <v>0</v>
      </c>
      <c r="AA13" s="865">
        <f t="shared" si="4"/>
        <v>367</v>
      </c>
      <c r="AB13" s="865">
        <f t="shared" si="4"/>
        <v>35037</v>
      </c>
      <c r="AC13" s="865">
        <f t="shared" si="4"/>
        <v>630</v>
      </c>
      <c r="AD13" s="865">
        <f t="shared" si="4"/>
        <v>0</v>
      </c>
      <c r="AE13" s="869">
        <f t="shared" si="4"/>
        <v>0</v>
      </c>
      <c r="AF13" s="862">
        <f t="shared" si="4"/>
        <v>0</v>
      </c>
      <c r="AG13" s="870">
        <f t="shared" si="4"/>
        <v>0</v>
      </c>
      <c r="AH13" s="867">
        <f t="shared" si="4"/>
        <v>0</v>
      </c>
      <c r="AI13" s="862">
        <f t="shared" si="4"/>
        <v>4004</v>
      </c>
      <c r="AJ13" s="864">
        <f t="shared" si="4"/>
        <v>0</v>
      </c>
      <c r="AK13" s="867">
        <f>SUBTOTAL(9,AK9:AK12)</f>
        <v>0</v>
      </c>
      <c r="AL13" s="871">
        <f>IF(ISNUMBER(NºAsuntos!G13/NºAsuntos!E13),NºAsuntos!G13/NºAsuntos!E13," - ")</f>
        <v>0.99829145013170073</v>
      </c>
      <c r="AM13" s="871">
        <f>IF(ISNUMBER(((NºAsuntos!I13/NºAsuntos!G13)*11)/factor_trimestre),((NºAsuntos!I13/NºAsuntos!G13)*11)/factor_trimestre," - ")</f>
        <v>8.3062112244170301</v>
      </c>
      <c r="AN13" s="872">
        <f>IF(ISNUMBER('Resol  Asuntos'!D13/NºAsuntos!G13),'Resol  Asuntos'!D13/NºAsuntos!G13," - ")</f>
        <v>0.28553091349925125</v>
      </c>
      <c r="AO13" s="873">
        <f>IF(ISNUMBER((NºAsuntos!C13+NºAsuntos!E13)/NºAsuntos!G13),(NºAsuntos!C13+NºAsuntos!E13)/NºAsuntos!G13," - ")</f>
        <v>3.753191185908864</v>
      </c>
      <c r="AP13" s="874" t="str">
        <f t="shared" si="2"/>
        <v xml:space="preserve"> - </v>
      </c>
      <c r="AQ13" s="874">
        <f>IF(ISNUMBER((H13-W13+K13)/(F13)),(H13-W13+K13)/(F13)," - ")</f>
        <v>-0.55107526881720426</v>
      </c>
      <c r="AR13" s="875">
        <f>IF(ISNUMBER((Datos!P13-Datos!Q13)/(Datos!R13-Datos!P13+Datos!Q13)),(Datos!P13-Datos!Q13)/(Datos!R13-Datos!P13+Datos!Q13)," - ")</f>
        <v>1.4124866132160121E-2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21</v>
      </c>
      <c r="B15" s="274" t="s">
        <v>397</v>
      </c>
      <c r="C15" s="159" t="str">
        <f>Datos!A15</f>
        <v xml:space="preserve">Seccion Instruccion Del T.I.                   </v>
      </c>
      <c r="D15" s="159"/>
      <c r="E15" s="1020">
        <f>IF(ISNUMBER(Datos!AQ15),Datos!AQ15," - ")</f>
        <v>21</v>
      </c>
      <c r="F15" s="224">
        <f>IF(ISNUMBER(AA15+W15-Datos!J15-K15),AA15+W15-Datos!J15-K15," - ")</f>
        <v>13912</v>
      </c>
      <c r="G15" s="332">
        <f>IF(ISNUMBER(IF(D_I="SI",Datos!I15,Datos!I15+Datos!AC15)),IF(D_I="SI",Datos!I15,Datos!I15+Datos!AC15)," - ")</f>
        <v>13738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769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14937</v>
      </c>
      <c r="X15" s="225">
        <f>IF(ISNUMBER(Datos!Q15),Datos!Q15," - ")</f>
        <v>865</v>
      </c>
      <c r="Y15" s="333">
        <f>SUM(W15)</f>
        <v>14937</v>
      </c>
      <c r="Z15" s="334" t="str">
        <f>IF(ISNUMBER(Datos!CC15),Datos!CC15," - ")</f>
        <v xml:space="preserve"> - </v>
      </c>
      <c r="AA15" s="331">
        <f>IF(ISNUMBER(IF(D_I="SI",Datos!L15,Datos!L15+Datos!AF15)),IF(D_I="SI",Datos!L15,Datos!L15+Datos!AF15)," - ")</f>
        <v>13562</v>
      </c>
      <c r="AB15" s="333">
        <f>IF(ISNUMBER(Datos!R15),Datos!R15," - ")</f>
        <v>1958</v>
      </c>
      <c r="AC15" s="333">
        <f t="shared" ref="AC15:AC18" si="6">IF(ISNUMBER(AA15+AB15),AA15+AB15," - ")</f>
        <v>15520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1947</v>
      </c>
      <c r="AJ15" s="230" t="str">
        <f>IF(ISNUMBER(Datos!BW15),Datos!BW15," - ")</f>
        <v xml:space="preserve"> - </v>
      </c>
      <c r="AK15" s="231" t="str">
        <f>IF(ISNUMBER(Datos!BX15),Datos!BX15," - ")</f>
        <v xml:space="preserve"> - </v>
      </c>
      <c r="AL15" s="242">
        <f>IF(ISNUMBER(NºAsuntos!G15/NºAsuntos!E15),NºAsuntos!G15/NºAsuntos!E15," - ")</f>
        <v>1.0239939672310963</v>
      </c>
      <c r="AM15" s="259">
        <f>IF(ISNUMBER(((NºAsuntos!I15/NºAsuntos!G15)*11)/factor_trimestre),((NºAsuntos!I15/NºAsuntos!G15)*11)/factor_trimestre," - ")</f>
        <v>2.7238401285398677</v>
      </c>
      <c r="AN15" s="243">
        <f>IF(ISNUMBER('Resol  Asuntos'!D15/NºAsuntos!G15),'Resol  Asuntos'!D15/NºAsuntos!G15," - ")</f>
        <v>0.13034745932918257</v>
      </c>
      <c r="AO15" s="244">
        <f>IF(ISNUMBER((NºAsuntos!C15+NºAsuntos!E15)/NºAsuntos!G15),(NºAsuntos!C15+NºAsuntos!E15)/NºAsuntos!G15," - ")</f>
        <v>1.8962977840262436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6</v>
      </c>
      <c r="B18" s="274" t="s">
        <v>397</v>
      </c>
      <c r="C18" s="7" t="str">
        <f>Datos!A18</f>
        <v>Sección De Violencia sobre la Mujer del TI</v>
      </c>
      <c r="D18" s="7"/>
      <c r="E18" s="1020">
        <f>IF(ISNUMBER(Datos!AQ18),Datos!AQ18," - ")</f>
        <v>6</v>
      </c>
      <c r="F18" s="224" t="str">
        <f>IF(ISNUMBER(AA18+W18-H18-K18),AA18+W18-H18-K18," - ")</f>
        <v xml:space="preserve"> - </v>
      </c>
      <c r="G18" s="332">
        <f>IF(ISNUMBER(IF(D_I="SI",Datos!I18,Datos!I18+Datos!AC18)),IF(D_I="SI",Datos!I18,Datos!I18+Datos!AC18)," - ")</f>
        <v>1385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27</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1847</v>
      </c>
      <c r="X18" s="225">
        <f>IF(ISNUMBER(Datos!Q18),Datos!Q18," - ")</f>
        <v>26</v>
      </c>
      <c r="Y18" s="333">
        <f t="shared" si="9"/>
        <v>1873</v>
      </c>
      <c r="Z18" s="334" t="str">
        <f>IF(ISNUMBER(Datos!CC18),Datos!CC18," - ")</f>
        <v xml:space="preserve"> - </v>
      </c>
      <c r="AA18" s="331">
        <f>IF(ISNUMBER(Datos!L18),Datos!L18,"-")</f>
        <v>1470</v>
      </c>
      <c r="AB18" s="333">
        <f>IF(ISNUMBER(Datos!R18),Datos!R18," - ")</f>
        <v>37</v>
      </c>
      <c r="AC18" s="333">
        <f t="shared" si="6"/>
        <v>1507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96</v>
      </c>
      <c r="AJ18" s="230" t="str">
        <f>IF(ISNUMBER(Datos!BW18),Datos!BW18," - ")</f>
        <v xml:space="preserve"> - </v>
      </c>
      <c r="AK18" s="231" t="str">
        <f>IF(ISNUMBER(Datos!BX18),Datos!BX18," - ")</f>
        <v xml:space="preserve"> - </v>
      </c>
      <c r="AL18" s="242">
        <f>IF(ISNUMBER(NºAsuntos!G18/NºAsuntos!E18),NºAsuntos!G18/NºAsuntos!E18," - ")</f>
        <v>0.92119700748129674</v>
      </c>
      <c r="AM18" s="259">
        <f>IF(ISNUMBER(((NºAsuntos!I18/NºAsuntos!G18)*11)/factor_trimestre),((NºAsuntos!I18/NºAsuntos!G18)*11)/factor_trimestre," - ")</f>
        <v>2.3876556578234975</v>
      </c>
      <c r="AN18" s="243">
        <f>IF(ISNUMBER('Resol  Asuntos'!D18/NºAsuntos!G18),'Resol  Asuntos'!D18/NºAsuntos!G18," - ")</f>
        <v>5.1976177585273418E-2</v>
      </c>
      <c r="AO18" s="244">
        <f>IF(ISNUMBER((NºAsuntos!C18+NºAsuntos!E18)/NºAsuntos!G18),(NºAsuntos!C18+NºAsuntos!E18)/NºAsuntos!G18," - ")</f>
        <v>1.8354087709799676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27</v>
      </c>
      <c r="F19" s="862">
        <f>SUBTOTAL(9,F14:F18)</f>
        <v>13912</v>
      </c>
      <c r="G19" s="863">
        <f>SUBTOTAL(9,G15:G18)</f>
        <v>15123</v>
      </c>
      <c r="H19" s="862">
        <f t="shared" ref="H19:O19" si="12">SUBTOTAL(9,H14:H18)</f>
        <v>0</v>
      </c>
      <c r="I19" s="864">
        <f t="shared" si="12"/>
        <v>0</v>
      </c>
      <c r="J19" s="864">
        <f t="shared" si="12"/>
        <v>0</v>
      </c>
      <c r="K19" s="864">
        <f t="shared" si="12"/>
        <v>0</v>
      </c>
      <c r="L19" s="864">
        <f t="shared" si="12"/>
        <v>796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16784</v>
      </c>
      <c r="X19" s="864">
        <f t="shared" si="13"/>
        <v>891</v>
      </c>
      <c r="Y19" s="865">
        <f t="shared" si="13"/>
        <v>16810</v>
      </c>
      <c r="Z19" s="865">
        <f t="shared" si="13"/>
        <v>0</v>
      </c>
      <c r="AA19" s="865">
        <f t="shared" si="13"/>
        <v>15032</v>
      </c>
      <c r="AB19" s="865">
        <f t="shared" si="13"/>
        <v>1995</v>
      </c>
      <c r="AC19" s="865">
        <f t="shared" si="13"/>
        <v>17027</v>
      </c>
      <c r="AD19" s="865">
        <f t="shared" si="13"/>
        <v>0</v>
      </c>
      <c r="AE19" s="869">
        <f t="shared" si="13"/>
        <v>0</v>
      </c>
      <c r="AF19" s="862">
        <f t="shared" si="13"/>
        <v>0</v>
      </c>
      <c r="AG19" s="870">
        <f t="shared" si="13"/>
        <v>0</v>
      </c>
      <c r="AH19" s="867">
        <f t="shared" si="13"/>
        <v>0</v>
      </c>
      <c r="AI19" s="862">
        <f t="shared" si="13"/>
        <v>2043</v>
      </c>
      <c r="AJ19" s="864">
        <f t="shared" si="13"/>
        <v>0</v>
      </c>
      <c r="AK19" s="867">
        <f t="shared" si="13"/>
        <v>0</v>
      </c>
      <c r="AL19" s="871">
        <f>IF(ISNUMBER(NºAsuntos!G19/NºAsuntos!E19),NºAsuntos!G19/NºAsuntos!E19," - ")</f>
        <v>1.0115718418514947</v>
      </c>
      <c r="AM19" s="871">
        <f>IF(ISNUMBER(((NºAsuntos!I19/NºAsuntos!G19)*11)/factor_trimestre),((NºAsuntos!I19/NºAsuntos!G19)*11)/factor_trimestre," - ")</f>
        <v>2.6868446139180175</v>
      </c>
      <c r="AN19" s="872">
        <f>IF(ISNUMBER('Resol  Asuntos'!D19/NºAsuntos!G19),'Resol  Asuntos'!D19/NºAsuntos!G19," - ")</f>
        <v>0.1217230695900858</v>
      </c>
      <c r="AO19" s="873">
        <f>IF(ISNUMBER((NºAsuntos!C19+NºAsuntos!E19)/NºAsuntos!G19),(NºAsuntos!C19+NºAsuntos!E19)/NºAsuntos!G19," - ")</f>
        <v>1.8895972354623451</v>
      </c>
      <c r="AP19" s="874" t="str">
        <f t="shared" si="2"/>
        <v xml:space="preserve"> - </v>
      </c>
      <c r="AQ19" s="874">
        <f>IF(ISNUMBER((H19-W19+K19)/(F19)),(H19-W19+K19)/(F19)," - ")</f>
        <v>-1.2064404830362276</v>
      </c>
      <c r="AR19" s="875">
        <f>IF(ISNUMBER((Datos!P19-Datos!Q19)/(Datos!R19-Datos!P19+Datos!Q19)),(Datos!P19-Datos!Q19)/(Datos!R19-Datos!P19+Datos!Q19)," - ")</f>
        <v>-4.5454545454545456E-2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63</v>
      </c>
      <c r="F20" s="817">
        <f t="shared" si="15"/>
        <v>14284</v>
      </c>
      <c r="G20" s="818">
        <f t="shared" si="15"/>
        <v>15495</v>
      </c>
      <c r="H20" s="817">
        <f t="shared" si="15"/>
        <v>0</v>
      </c>
      <c r="I20" s="819">
        <f t="shared" si="15"/>
        <v>0</v>
      </c>
      <c r="J20" s="819">
        <f t="shared" si="15"/>
        <v>0</v>
      </c>
      <c r="K20" s="878">
        <f t="shared" si="15"/>
        <v>0</v>
      </c>
      <c r="L20" s="819">
        <f t="shared" si="15"/>
        <v>3578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16989</v>
      </c>
      <c r="X20" s="818">
        <f t="shared" si="16"/>
        <v>3185</v>
      </c>
      <c r="Y20" s="825">
        <f t="shared" si="16"/>
        <v>19309</v>
      </c>
      <c r="Z20" s="825">
        <f t="shared" si="16"/>
        <v>0</v>
      </c>
      <c r="AA20" s="825">
        <f t="shared" si="16"/>
        <v>15399</v>
      </c>
      <c r="AB20" s="825">
        <f t="shared" si="16"/>
        <v>37032</v>
      </c>
      <c r="AC20" s="825">
        <f t="shared" si="16"/>
        <v>17657</v>
      </c>
      <c r="AD20" s="825">
        <f t="shared" si="16"/>
        <v>0</v>
      </c>
      <c r="AE20" s="827">
        <f t="shared" si="16"/>
        <v>0</v>
      </c>
      <c r="AF20" s="828">
        <f t="shared" si="16"/>
        <v>0</v>
      </c>
      <c r="AG20" s="829">
        <f t="shared" si="16"/>
        <v>0</v>
      </c>
      <c r="AH20" s="827">
        <f t="shared" si="16"/>
        <v>0</v>
      </c>
      <c r="AI20" s="817">
        <f t="shared" si="16"/>
        <v>6047</v>
      </c>
      <c r="AJ20" s="817">
        <f t="shared" si="16"/>
        <v>0</v>
      </c>
      <c r="AK20" s="827">
        <f t="shared" si="16"/>
        <v>0</v>
      </c>
      <c r="AL20" s="881">
        <f>IF(ISNUMBER(NºAsuntos!G20/NºAsuntos!E20),NºAsuntos!G20/NºAsuntos!E20," - ")</f>
        <v>1.0054832076764908</v>
      </c>
      <c r="AM20" s="882">
        <f>IF(ISNUMBER(((NºAsuntos!I20/NºAsuntos!G20)*11)/factor_trimestre),((NºAsuntos!I20/NºAsuntos!G20)*11)/factor_trimestre," - ")</f>
        <v>5.2447171097477847</v>
      </c>
      <c r="AN20" s="882">
        <f>IF(ISNUMBER('Resol  Asuntos'!D20/NºAsuntos!G20),'Resol  Asuntos'!D20/NºAsuntos!G20," - ")</f>
        <v>0.19628655824974844</v>
      </c>
      <c r="AO20" s="883">
        <f>IF(ISNUMBER((NºAsuntos!C20+NºAsuntos!E20)/NºAsuntos!G20),(NºAsuntos!C20+NºAsuntos!E20)/NºAsuntos!G20," - ")</f>
        <v>2.7378842470867011</v>
      </c>
      <c r="AP20" s="884" t="str">
        <f t="shared" si="2"/>
        <v xml:space="preserve"> - </v>
      </c>
      <c r="AQ20" s="885">
        <f>IF(OR(ISNUMBER(FIND("01",Criterios!A8,1)),ISNUMBER(FIND("02",Criterios!A8,1)),ISNUMBER(FIND("03",Criterios!A8,1)),ISNUMBER(FIND("04",Criterios!A8,1))),(I20-W20+K20)/(F20-K20),(H20-W20+K20)/(F20-K20))</f>
        <v>-1.1893727247269672</v>
      </c>
      <c r="AR20" s="886">
        <f>IF(ISNUMBER((Datos!P20-Datos!Q20)/(Datos!R20-Datos!P20+Datos!Q20)),(Datos!P20-Datos!Q20)/(Datos!R20-Datos!P20+Datos!Q20)," - ")</f>
        <v>1.0726275280438877E-2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13.175735273600484</v>
      </c>
      <c r="F22" s="251">
        <f>IF(ISNUMBER(STDEV(F8:F19)),STDEV(F8:F19),"-")</f>
        <v>7817.3226448275327</v>
      </c>
      <c r="G22" s="252">
        <f>IF(ISNUMBER(STDEV(G8:G19)),STDEV(G8:G19),"-")</f>
        <v>7542.4920616464688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8327.8326592217254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1595.4246784984571</v>
      </c>
      <c r="AJ22" s="251">
        <f t="shared" si="20"/>
        <v>0</v>
      </c>
      <c r="AK22" s="253">
        <f t="shared" si="20"/>
        <v>0</v>
      </c>
      <c r="AL22" s="248">
        <f t="shared" si="20"/>
        <v>3.710630988842812E-2</v>
      </c>
      <c r="AM22" s="249">
        <f t="shared" si="20"/>
        <v>3.0795110706496822</v>
      </c>
      <c r="AN22" s="249">
        <f t="shared" si="20"/>
        <v>0.11319815028073495</v>
      </c>
      <c r="AO22" s="250">
        <f t="shared" si="20"/>
        <v>1.0176295722832547</v>
      </c>
      <c r="AP22" s="290" t="str">
        <f t="shared" si="20"/>
        <v>-</v>
      </c>
      <c r="AQ22" s="291">
        <f t="shared" si="20"/>
        <v>0.46341318712804597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q2cv+SYwrzJe9Wt9bfbQ2B+0LNCEL5LMO8p27/Ym6kQjIP+Waj3zajopSd3ok847B9DnFE0ilCDX3j9H2UfWA==" saltValue="KewhobkpOHTAzGA6MeCn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VALENCIA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-9.0094836670179132E-2</v>
      </c>
      <c r="I9" s="349">
        <f>IF(ISNUMBER((Tasas!C9-Datos!BE9)/Datos!BE9),(Tasas!C9-Datos!BE9)/Datos!BE9," - ")</f>
        <v>0.2345606890171367</v>
      </c>
      <c r="J9" s="348">
        <f>IF(ISNUMBER((Tasas!D9-Datos!BF9)/Datos!BF9),(Tasas!D9-Datos!BF9)/Datos!BF9," - ")</f>
        <v>-0.38756528938807056</v>
      </c>
      <c r="K9" s="350">
        <f>IF(ISNUMBER((Tasas!E9-Datos!BG9)/Datos!BG9),(Tasas!E9-Datos!BG9)/Datos!BG9," - ")</f>
        <v>0.16427010327098887</v>
      </c>
      <c r="M9" t="e">
        <f>IF(Monitorios="SI",Datos!CE9,0)</f>
        <v>#REF!</v>
      </c>
      <c r="N9" t="e">
        <f>IF(Monitorios="SI",Datos!CF9,0)</f>
        <v>#REF!</v>
      </c>
      <c r="O9" t="e">
        <f>IF(Monitorios="SI",Datos!CG9,0)</f>
        <v>#REF!</v>
      </c>
      <c r="P9" t="e">
        <f>IF(Monitorios="SI",Datos!CH9,0)</f>
        <v>#REF!</v>
      </c>
      <c r="Q9">
        <f>IF(J_V="SI",0,Datos!AG9)</f>
        <v>737</v>
      </c>
      <c r="R9">
        <f>IF(J_V="SI",0,Datos!AH9)</f>
        <v>887</v>
      </c>
      <c r="S9">
        <f>IF(J_V="SI",0,Datos!AI9)</f>
        <v>941</v>
      </c>
      <c r="T9">
        <f>IF(J_V="SI",0,Datos!AJ9)</f>
        <v>683</v>
      </c>
    </row>
    <row r="10" spans="2:20" ht="14.25">
      <c r="B10" s="274" t="s">
        <v>247</v>
      </c>
      <c r="C10" s="7" t="str">
        <f>Datos!A10</f>
        <v>Sección De Violencia sobre la Mujer del TI</v>
      </c>
      <c r="D10" s="351">
        <f>IF(ISNUMBER((Datos!I10-Datos!S10)/Datos!S10),(Datos!I10-Datos!S10)/Datos!S10," - ")</f>
        <v>9.7345132743362831E-2</v>
      </c>
      <c r="E10" s="347">
        <f>IF(ISNUMBER((Datos!J10-Datos!T10)/Datos!T10),(Datos!J10-Datos!T10)/Datos!T10," - ")</f>
        <v>-9.5022624434389136E-2</v>
      </c>
      <c r="F10" s="347">
        <f>IF(ISNUMBER((Datos!K10-Datos!U10)/Datos!U10),(Datos!K10-Datos!U10)/Datos!U10," - ")</f>
        <v>-6.8181818181818177E-2</v>
      </c>
      <c r="G10" s="348">
        <f>IF(ISNUMBER((Datos!L10-Datos!V10)/Datos!V10),(Datos!L10-Datos!V10)/Datos!V10," - ")</f>
        <v>8.9020771513353122E-2</v>
      </c>
      <c r="H10" s="229">
        <f>IF(ISNUMBER((Datos!M10-Datos!W10)/Datos!W10),(Datos!M10-Datos!W10)/Datos!W10," - ")</f>
        <v>-6.25E-2</v>
      </c>
      <c r="I10" s="349">
        <f>IF(ISNUMBER((Tasas!C10-Datos!BE10)/Datos!BE10),(Tasas!C10-Datos!BE10)/Datos!BE10," - ")</f>
        <v>0.1687052182094522</v>
      </c>
      <c r="J10" s="348">
        <f>IF(ISNUMBER((Tasas!D10-Datos!BF10)/Datos!BF10),(Tasas!D10-Datos!BF10)/Datos!BF10," - ")</f>
        <v>6.097560975609706E-3</v>
      </c>
      <c r="K10" s="350">
        <f>IF(ISNUMBER((Tasas!E10-Datos!BG10)/Datos!BG10),(Tasas!E10-Datos!BG10)/Datos!BG10," - ")</f>
        <v>9.6167247386759525E-2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-0.11873840445269017</v>
      </c>
      <c r="I11" s="349">
        <f>IF(ISNUMBER((Tasas!C11-Datos!BE11)/Datos!BE11),(Tasas!C11-Datos!BE11)/Datos!BE11," - ")</f>
        <v>-0.26391401035231027</v>
      </c>
      <c r="J11" s="348">
        <f>IF(ISNUMBER((Tasas!D11-Datos!BF11)/Datos!BF11),(Tasas!D11-Datos!BF11)/Datos!BF11," - ")</f>
        <v>-0.61887976985574789</v>
      </c>
      <c r="K11" s="350">
        <f>IF(ISNUMBER((Tasas!E11-Datos!BG11)/Datos!BG11),(Tasas!E11-Datos!BG11)/Datos!BG11," - ")</f>
        <v>-0.16180726023045594</v>
      </c>
      <c r="M11" t="e">
        <f>IF(Monitorios="SI",Datos!CE11,0)</f>
        <v>#REF!</v>
      </c>
      <c r="N11" t="e">
        <f>IF(Monitorios="SI",Datos!CF11,0)</f>
        <v>#REF!</v>
      </c>
      <c r="O11" t="e">
        <f>IF(Monitorios="SI",Datos!CG11,0)</f>
        <v>#REF!</v>
      </c>
      <c r="P11" t="e">
        <f>IF(Monitorios="SI",Datos!CH11,0)</f>
        <v>#REF!</v>
      </c>
      <c r="Q11">
        <f>IF(J_V="SI",0,Datos!AG11)</f>
        <v>517</v>
      </c>
      <c r="R11">
        <f>IF(J_V="SI",0,Datos!AH11)</f>
        <v>723</v>
      </c>
      <c r="S11">
        <f>IF(J_V="SI",0,Datos!AI11)</f>
        <v>745</v>
      </c>
      <c r="T11">
        <f>IF(J_V="SI",0,Datos!AJ11)</f>
        <v>495</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-9.3091732729331828E-2</v>
      </c>
      <c r="I13" s="356">
        <f>IF(ISNUMBER((Tasas!C13-Datos!BE13)/Datos!BE13),(Tasas!C13-Datos!BE13)/Datos!BE13," - ")</f>
        <v>0.1630529356199458</v>
      </c>
      <c r="J13" s="354">
        <f>IF(ISNUMBER((Tasas!D13-Datos!BF13)/Datos!BF13),(Tasas!D13-Datos!BF13)/Datos!BF13," - ")</f>
        <v>-0.42149277760386383</v>
      </c>
      <c r="K13" s="357">
        <f>IF(ISNUMBER((Tasas!E13-Datos!BG13)/Datos!BG13),(Tasas!E13-Datos!BG13)/Datos!BG13," - ")</f>
        <v>0.10774444042335621</v>
      </c>
      <c r="M13" t="e">
        <f>IF(Monitorios="SI",Datos!CE13,0)</f>
        <v>#REF!</v>
      </c>
      <c r="N13" t="e">
        <f>IF(Monitorios="SI",Datos!CF13,0)</f>
        <v>#REF!</v>
      </c>
      <c r="O13" t="e">
        <f>IF(Monitorios="SI",Datos!CG13,0)</f>
        <v>#REF!</v>
      </c>
      <c r="P13" t="e">
        <f>IF(Monitorios="SI",Datos!CH13,0)</f>
        <v>#REF!</v>
      </c>
      <c r="Q13">
        <f>IF(J_V="SI",0,Datos!AG13)</f>
        <v>1254</v>
      </c>
      <c r="R13">
        <f>IF(J_V="SI",0,Datos!AH13)</f>
        <v>1610</v>
      </c>
      <c r="S13">
        <f>IF(J_V="SI",0,Datos!AI13)</f>
        <v>1686</v>
      </c>
      <c r="T13">
        <f>IF(J_V="SI",0,Datos!AJ13)</f>
        <v>1178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0.15542472666105972</v>
      </c>
      <c r="E15" s="347">
        <f>IF(ISNUMBER(
   IF(D_I="SI",(Datos!J15-Datos!T15)/Datos!T15,(Datos!J15+Datos!AD15-(Datos!T15+Datos!AL15))/(Datos!T15+Datos!AL15))
     ),IF(D_I="SI",(Datos!J15-Datos!T15)/Datos!T15,(Datos!J15+Datos!AD15-(Datos!T15+Datos!AL15))/(Datos!T15+Datos!AL15))," - ")</f>
        <v>2.0640917996081726E-2</v>
      </c>
      <c r="F15" s="347">
        <f>IF(ISNUMBER(
   IF(D_I="SI",(Datos!K15-Datos!U15)/Datos!U15,(Datos!K15+Datos!AE15-(Datos!U15+Datos!AM15))/(Datos!U15+Datos!AM15))
     ),IF(D_I="SI",(Datos!K15-Datos!U15)/Datos!U15,(Datos!K15+Datos!AE15-(Datos!U15+Datos!AM15))/(Datos!U15+Datos!AM15))," - ")</f>
        <v>-5.0622793578898291E-3</v>
      </c>
      <c r="G15" s="348">
        <f>IF(ISNUMBER(
   IF(D_I="SI",(Datos!L15-Datos!V15)/Datos!V15,(Datos!L15+Datos!AF15-(Datos!V15+Datos!AN15))/(Datos!V15+Datos!AN15))
     ),IF(D_I="SI",(Datos!L15-Datos!V15)/Datos!V15,(Datos!L15+Datos!AF15-(Datos!V15+Datos!AN15))/(Datos!V15+Datos!AN15))," - ")</f>
        <v>0.19027558364051256</v>
      </c>
      <c r="H15" s="229">
        <f>IF(ISNUMBER((Datos!M15-Datos!W15)/Datos!W15),(Datos!M15-Datos!W15)/Datos!W15," - ")</f>
        <v>-0.14978165938864629</v>
      </c>
      <c r="I15" s="349">
        <f>IF(ISNUMBER((Tasas!C15-Datos!BE15)/Datos!BE15),(Tasas!C15-Datos!BE15)/Datos!BE15," - ")</f>
        <v>0.19633174915947071</v>
      </c>
      <c r="J15" s="348">
        <f>IF(ISNUMBER((Tasas!D15-Datos!BF15)/Datos!BF15),(Tasas!D15-Datos!BF15)/Datos!BF15," - ")</f>
        <v>-0.14545571750697903</v>
      </c>
      <c r="K15" s="350">
        <f>IF(ISNUMBER((Tasas!E15-Datos!BG15)/Datos!BG15),(Tasas!E15-Datos!BG15)/Datos!BG15," - ")</f>
        <v>8.7354618882667365E-2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-7.2958500669344048E-2</v>
      </c>
      <c r="E18" s="347">
        <f>IF(ISNUMBER(
   IF(D_I="SI",(Datos!J18-Datos!T18)/Datos!T18,(Datos!J18+Datos!AD18-(Datos!T18+Datos!AL18))/(Datos!T18+Datos!AL18))
     ),IF(D_I="SI",(Datos!J18-Datos!T18)/Datos!T18,(Datos!J18+Datos!AD18-(Datos!T18+Datos!AL18))/(Datos!T18+Datos!AL18))," - ")</f>
        <v>5.5165496489468406E-3</v>
      </c>
      <c r="F18" s="347">
        <f>IF(ISNUMBER(
   IF(D_I="SI",(Datos!K18-Datos!U18)/Datos!U18,(Datos!K18+Datos!AE18-(Datos!U18+Datos!AM18))/(Datos!U18+Datos!AM18))
     ),IF(D_I="SI",(Datos!K18-Datos!U18)/Datos!U18,(Datos!K18+Datos!AE18-(Datos!U18+Datos!AM18))/(Datos!U18+Datos!AM18))," - ")</f>
        <v>-0.12422949265054528</v>
      </c>
      <c r="G18" s="348">
        <f>IF(ISNUMBER(
   IF(D_I="SI",(Datos!L18-Datos!V18)/Datos!V18,(Datos!L18+Datos!AF18-(Datos!V18+Datos!AN18))/(Datos!V18+Datos!AN18))
     ),IF(D_I="SI",(Datos!L18-Datos!V18)/Datos!V18,(Datos!L18+Datos!AF18-(Datos!V18+Datos!AN18))/(Datos!V18+Datos!AN18))," - ")</f>
        <v>6.0606060606060608E-2</v>
      </c>
      <c r="H18" s="229">
        <f>IF(ISNUMBER((Datos!M18-Datos!W18)/Datos!W18),(Datos!M18-Datos!W18)/Datos!W18," - ")</f>
        <v>-0.21311475409836064</v>
      </c>
      <c r="I18" s="349">
        <f>IF(ISNUMBER((Tasas!C18-Datos!BE18)/Datos!BE18),(Tasas!C18-Datos!BE18)/Datos!BE18," - ")</f>
        <v>0.21105478170989816</v>
      </c>
      <c r="J18" s="348">
        <f>IF(ISNUMBER((Tasas!D18-Datos!BF18)/Datos!BF18),(Tasas!D18-Datos!BF18)/Datos!BF18," - ")</f>
        <v>-0.10149378256277349</v>
      </c>
      <c r="K18" s="350">
        <f>IF(ISNUMBER((Tasas!E18-Datos!BG18)/Datos!BG18),(Tasas!E18-Datos!BG18)/Datos!BG18," - ")</f>
        <v>0.10976981020549066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0.12993126120741183</v>
      </c>
      <c r="E19" s="353">
        <f>IF(ISNUMBER(
   IF(D_I="SI",(Datos!J19-Datos!T19)/Datos!T19,(Datos!J19+Datos!AD19-(Datos!T19+Datos!AL19))/(Datos!T19+Datos!AL19))
     ),IF(D_I="SI",(Datos!J19-Datos!T19)/Datos!T19,(Datos!J19+Datos!AD19-(Datos!T19+Datos!AL19))/(Datos!T19+Datos!AL19))," - ")</f>
        <v>1.8789144050104383E-2</v>
      </c>
      <c r="F19" s="353">
        <f>IF(ISNUMBER(
   IF(D_I="SI",(Datos!K19-Datos!U19)/Datos!U19,(Datos!K19+Datos!AE19-(Datos!U19+Datos!AM19))/(Datos!U19+Datos!AM19))
     ),IF(D_I="SI",(Datos!K19-Datos!U19)/Datos!U19,(Datos!K19+Datos!AE19-(Datos!U19+Datos!AM19))/(Datos!U19+Datos!AM19))," - ")</f>
        <v>-1.9740684499474359E-2</v>
      </c>
      <c r="G19" s="354">
        <f>IF(ISNUMBER(
   IF(D_I="SI",(Datos!L19-Datos!V19)/Datos!V19,(Datos!L19+Datos!AF19-(Datos!V19+Datos!AN19))/(Datos!V19+Datos!AN19))
     ),IF(D_I="SI",(Datos!L19-Datos!V19)/Datos!V19,(Datos!L19+Datos!AF19-(Datos!V19+Datos!AN19))/(Datos!V19+Datos!AN19))," - ")</f>
        <v>0.17621283255086073</v>
      </c>
      <c r="H19" s="355">
        <f>IF(ISNUMBER((Datos!M19-Datos!W19)/Datos!W19),(Datos!M19-Datos!W19)/Datos!W19," - ")</f>
        <v>-0.15298507462686567</v>
      </c>
      <c r="I19" s="356">
        <f>IF(ISNUMBER((Tasas!C19-Datos!BE19)/Datos!BE19),(Tasas!C19-Datos!BE19)/Datos!BE19," - ")</f>
        <v>0.19989967343516662</v>
      </c>
      <c r="J19" s="354">
        <f>IF(ISNUMBER((Tasas!D19-Datos!BF19)/Datos!BF19),(Tasas!D19-Datos!BF19)/Datos!BF19," - ")</f>
        <v>-0.13592769588662965</v>
      </c>
      <c r="K19" s="357">
        <f>IF(ISNUMBER((Tasas!E19-Datos!BG19)/Datos!BG19),(Tasas!E19-Datos!BG19)/Datos!BG19," - ")</f>
        <v>9.0451090852250518E-2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-2.8490286169096633E-2</v>
      </c>
      <c r="E20" s="362">
        <f>IF(ISNUMBER(
   IF(J_V="SI",(Datos!J20-Datos!T20)/Datos!T20,(Datos!J20+Datos!Z20-(Datos!T20+Datos!AH20))/(Datos!T20+Datos!AH20))
     ),IF(J_V="SI",(Datos!J20-Datos!T20)/Datos!T20,(Datos!J20+Datos!Z20-(Datos!T20+Datos!AH20))/(Datos!T20+Datos!AH20))," - ")</f>
        <v>-0.18448229970721319</v>
      </c>
      <c r="F20" s="362">
        <f>IF(ISNUMBER(
   IF(J_V="SI",(Datos!K20-Datos!U20)/Datos!U20,(Datos!K20+Datos!AA20-(Datos!U20+Datos!AI20))/(Datos!U20+Datos!AI20))
     ),IF(J_V="SI",(Datos!K20-Datos!U20)/Datos!U20,(Datos!K20+Datos!AA20-(Datos!U20+Datos!AI20))/(Datos!U20+Datos!AI20))," - ")</f>
        <v>-0.13874755381604698</v>
      </c>
      <c r="G20" s="363">
        <f>IF(ISNUMBER(
   IF(J_V="SI",(Datos!L20-Datos!V20)/Datos!V20,(Datos!L20+Datos!AB20-(Datos!V20+Datos!AJ20))/(Datos!V20+Datos!AJ20))
     ),IF(J_V="SI",(Datos!L20-Datos!V20)/Datos!V20,(Datos!L20+Datos!AB20-(Datos!V20+Datos!AJ20))/(Datos!V20+Datos!AJ20))," - ")</f>
        <v>-5.7981914540080108E-2</v>
      </c>
      <c r="H20" s="364">
        <f>IF(ISNUMBER((Datos!M20-Datos!W20)/Datos!W20),(Datos!M20-Datos!W20)/Datos!W20," - ")</f>
        <v>-0.11425223377764758</v>
      </c>
      <c r="I20" s="361">
        <f>IF(ISNUMBER((Tasas!C20-Datos!BE20)/Datos!BE20),(Tasas!C20-Datos!BE20)/Datos!BE20," - ")</f>
        <v>9.3776963576503253E-2</v>
      </c>
      <c r="J20" s="362">
        <f>IF(ISNUMBER((Tasas!D20-Datos!BF20)/Datos!BF20),(Tasas!D20-Datos!BF20)/Datos!BF20," - ")</f>
        <v>-0.39556041764863109</v>
      </c>
      <c r="K20" s="363">
        <f>IF(ISNUMBER((Tasas!E20-Datos!BG20)/Datos!BG20),(Tasas!E20-Datos!BG20)/Datos!BG20," - ")</f>
        <v>5.4733549285866698E-2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0.10304185772967205</v>
      </c>
      <c r="E22" s="277">
        <f t="shared" si="1"/>
        <v>5.541332313117267E-2</v>
      </c>
      <c r="F22" s="277">
        <f t="shared" si="1"/>
        <v>5.3856408437465725E-2</v>
      </c>
      <c r="G22" s="278">
        <f t="shared" si="1"/>
        <v>6.3926559539383809E-2</v>
      </c>
      <c r="H22" s="284">
        <f t="shared" si="1"/>
        <v>5.056258137441421E-2</v>
      </c>
      <c r="I22" s="276">
        <f t="shared" si="1"/>
        <v>0.17537935311934474</v>
      </c>
      <c r="J22" s="277">
        <f t="shared" si="1"/>
        <v>0.22194616712712284</v>
      </c>
      <c r="K22" s="278">
        <f t="shared" si="1"/>
        <v>0.10569584083305791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ajq5G6qgARK7lRyYhwmJmSLd0VlWwCnYRu6BYU4IdNec2qAKvzlv3O+khA0laaAu7Mlafq8KNJ5PV1kqGvBYg==" saltValue="8Q16HCwXu9yl42B2cw1i8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